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B7C3EFCA-6A6A-470E-AB95-D2798ED91EF7}" xr6:coauthVersionLast="47" xr6:coauthVersionMax="47" xr10:uidLastSave="{00000000-0000-0000-0000-000000000000}"/>
  <bookViews>
    <workbookView xWindow="2760" yWindow="2520" windowWidth="21600" windowHeight="11055" tabRatio="857" firstSheet="1" activeTab="1" xr2:uid="{00000000-000D-0000-FFFF-FFFF00000000}"/>
  </bookViews>
  <sheets>
    <sheet name="CB_DATA_" sheetId="4" state="veryHidden" r:id="rId1"/>
    <sheet name="Decision Complete Uncertainty" sheetId="20" r:id="rId2"/>
    <sheet name="VOIP" sheetId="6" r:id="rId3"/>
    <sheet name="Food Truck Decision Trees" sheetId="10" r:id="rId4"/>
    <sheet name="Car Decision Tree" sheetId="18" r:id="rId5"/>
    <sheet name="Objective Probability" sheetId="11" r:id="rId6"/>
    <sheet name="Expected Value" sheetId="12" r:id="rId7"/>
    <sheet name="Fin CME" sheetId="19" r:id="rId8"/>
    <sheet name="Utility" sheetId="15" r:id="rId9"/>
    <sheet name="SuperWidgets" sheetId="22" r:id="rId10"/>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1" hidden="1">'Decision Complete Uncertainty'!$I$45:$K$49</definedName>
    <definedName name="A" localSheetId="1">1</definedName>
    <definedName name="ABMax">#REF!</definedName>
    <definedName name="AbMin">#REF!</definedName>
    <definedName name="alpha">'Decision Complete Uncertainty'!$C$60</definedName>
    <definedName name="B" localSheetId="1">1</definedName>
    <definedName name="CB_7046b68c22234d2ba7baa04bbe24a2ff" localSheetId="0" hidden="1">#N/A</definedName>
    <definedName name="CB_Block_00000000000000000000000000000000" localSheetId="0" hidden="1">"'7.0.0.0"</definedName>
    <definedName name="CB_Block_00000000000000000000000000000001" localSheetId="0" hidden="1">"'638486063505612618"</definedName>
    <definedName name="CB_Block_00000000000000000000000000000003" localSheetId="0" hidden="1">"'11.1.4512.0"</definedName>
    <definedName name="CB_BlockExt_00000000000000000000000000000003" localSheetId="0" hidden="1">"'11.1.2.4.600"</definedName>
    <definedName name="CBWorkbookPriority" localSheetId="0" hidden="1">-298054616</definedName>
    <definedName name="CBx_3a7b4cd888af4dbf8f1d0f12be7a7188" localSheetId="0" hidden="1">"'InfoValueNormal (2)'!$A$1"</definedName>
    <definedName name="CBx_7735312c5dca4f22a017d60f4b0e9b0a" localSheetId="0" hidden="1">"'CB_DATA_'!$A$1"</definedName>
    <definedName name="CBx_af5fd88f29cc4edda074652e8da226ac" localSheetId="0" hidden="1">"'VOI Model'!$A$1"</definedName>
    <definedName name="CBx_Sheet_Guid" localSheetId="0" hidden="1">"'7735312c-5dca-4f22-a017-d60f4b0e9b0a"</definedName>
    <definedName name="CBx_SheetRef" localSheetId="0" hidden="1">CB_DATA_!$A$14</definedName>
    <definedName name="CBx_StorageType" localSheetId="0" hidden="1">2</definedName>
    <definedName name="DefectSample">#REF!</definedName>
    <definedName name="ExpU">'Decision Complete Uncertainty'!$C$61</definedName>
    <definedName name="FirstMo">#REF!</definedName>
    <definedName name="H_alpha">'Decision Complete Uncertainty'!$J$20</definedName>
    <definedName name="Lbound">#REF!</definedName>
    <definedName name="LossRate">#REF!</definedName>
    <definedName name="LotSize">#REF!</definedName>
    <definedName name="MinimizeCosts" localSheetId="4">FALSE</definedName>
    <definedName name="MinimizeCosts" localSheetId="1">FALSE</definedName>
    <definedName name="MinimizeCosts" localSheetId="7">FALSE</definedName>
    <definedName name="MinimizeCosts" localSheetId="3">FALSE</definedName>
    <definedName name="MinimizeCosts" localSheetId="9">FALSE</definedName>
    <definedName name="MulitP_Cap">'Decision Complete Uncertainty'!$E$7</definedName>
    <definedName name="MultiP_LC">'Decision Complete Uncertainty'!$E$8</definedName>
    <definedName name="Pal_Workbook_GUID" hidden="1">"3BF7PMJU32QADKTDNADTXHHT"</definedName>
    <definedName name="PowerPack_Cap">'Decision Complete Uncertainty'!$C$7</definedName>
    <definedName name="PowerPack_LC">'Decision Complete Uncertainty'!$C$8</definedName>
    <definedName name="PowerPack_SP">'Decision Complete Uncertainty'!$C$9</definedName>
    <definedName name="Preference_Probabiltiy">'Decision Complete Uncertainty'!$C$58</definedName>
    <definedName name="_xlnm.Print_Area" localSheetId="4">'Car Decision Tree'!TreeDiagram</definedName>
    <definedName name="_xlnm.Print_Area" localSheetId="1">'Decision Complete Uncertainty'!$O$19:$Y$57</definedName>
    <definedName name="_xlnm.Print_Area" localSheetId="7">'Fin CME'!TreeDiagram</definedName>
    <definedName name="_xlnm.Print_Area" localSheetId="3">'Food Truck Decision Trees'!$D$4:$N$22</definedName>
    <definedName name="_xlnm.Print_Area" localSheetId="9">SuperWidgets!$L$40:$R$58</definedName>
    <definedName name="r__odds">'Decision Complete Uncertainty'!$C$59</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T" localSheetId="1">999999999999</definedName>
    <definedName name="ScaledA" localSheetId="1">EXP(-Low/'Decision Complete Uncertainty'!RT)/(EXP(-Low/'Decision Complete Uncertainty'!RT)-EXP(-High/'Decision Complete Uncertainty'!RT))</definedName>
    <definedName name="ScaledB" localSheetId="1">1/(EXP(-Low/'Decision Complete Uncertainty'!RT)-EXP(-High/'Decision Complete Uncertainty'!RT))</definedName>
    <definedName name="SecondMo">#REF!</definedName>
    <definedName name="SuperStack__LC">'Decision Complete Uncertainty'!$D$8</definedName>
    <definedName name="SuperStack_Cap">'Decision Complete Uncertainty'!$D$7</definedName>
    <definedName name="SuperStack_SP">'Decision Complete Uncertainty'!$D$9</definedName>
    <definedName name="Threshold">#REF!</definedName>
    <definedName name="TreeData" localSheetId="4">'Car Decision Tree'!$GB$994:$GP$1007</definedName>
    <definedName name="TreeData" localSheetId="1">'Decision Complete Uncertainty'!$GH$1001:$GV$1012</definedName>
    <definedName name="TreeData" localSheetId="7">'Fin CME'!$GH$1001:$GV$1005</definedName>
    <definedName name="TreeData" localSheetId="3">'Food Truck Decision Trees'!$GH$991:$GV$997</definedName>
    <definedName name="TreeData" localSheetId="9">SuperWidgets!$GH$1003:$GV$1007</definedName>
    <definedName name="TreeDiagBase" localSheetId="4">'Car Decision Tree'!$B$4</definedName>
    <definedName name="TreeDiagBase" localSheetId="1">'Decision Complete Uncertainty'!$O$19</definedName>
    <definedName name="TreeDiagBase" localSheetId="7">'Fin CME'!$L$40</definedName>
    <definedName name="TreeDiagBase" localSheetId="3">'Food Truck Decision Trees'!$D$4</definedName>
    <definedName name="TreeDiagBase" localSheetId="9">SuperWidgets!$L$41</definedName>
    <definedName name="TreeDiagram" localSheetId="4">'Car Decision Tree'!$B$4:$P$42</definedName>
    <definedName name="TreeDiagram" localSheetId="1">'Decision Complete Uncertainty'!$O$19:$Y$57</definedName>
    <definedName name="TreeDiagram" localSheetId="7">'Fin CME'!$L$40:$R$58</definedName>
    <definedName name="TreeDiagram" localSheetId="3">'Food Truck Decision Trees'!$D$4:$N$22</definedName>
    <definedName name="TreeDiagram" localSheetId="9">SuperWidgets!$L$40:$R$58</definedName>
    <definedName name="Ubound">#REF!</definedName>
    <definedName name="UseExpUtility" localSheetId="4">FALSE</definedName>
    <definedName name="UseExpUtility" localSheetId="1">FALSE</definedName>
    <definedName name="UseExpUtility" localSheetId="7">FALSE</definedName>
    <definedName name="UseExpUtility" localSheetId="3">FALSE</definedName>
    <definedName name="UseExpUtility" localSheetId="9">FALSE</definedName>
    <definedName name="UtilityCurveRangeAdj">'Decision Complete Uncertainty'!$F$67</definedName>
    <definedName name="vmax">'Decision Complete Uncertainty'!$F$59</definedName>
    <definedName name="vmin">'Decision Complete Uncertainty'!$F$58</definedName>
  </definedNames>
  <calcPr calcId="191029" iterate="1" concurrentCalc="0" concurrentManualCount="2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5" i="22" l="1"/>
  <c r="E73" i="22"/>
  <c r="C106" i="20"/>
  <c r="C105" i="20"/>
  <c r="C108" i="20"/>
  <c r="C107" i="20"/>
  <c r="R49" i="20"/>
  <c r="R34" i="20"/>
  <c r="R24" i="20"/>
  <c r="D43" i="20"/>
  <c r="D44" i="20"/>
  <c r="C48" i="20"/>
  <c r="D48" i="20"/>
  <c r="E48" i="20"/>
  <c r="F48" i="20"/>
  <c r="V22" i="20"/>
  <c r="V47" i="20"/>
  <c r="V32" i="20"/>
  <c r="V52" i="20"/>
  <c r="V57" i="20"/>
  <c r="Y56" i="20"/>
  <c r="W57" i="20"/>
  <c r="Y51" i="20"/>
  <c r="W52" i="20"/>
  <c r="Y46" i="20"/>
  <c r="W47" i="20"/>
  <c r="Y41" i="20"/>
  <c r="W42" i="20"/>
  <c r="Y36" i="20"/>
  <c r="W37" i="20"/>
  <c r="Y31" i="20"/>
  <c r="W32" i="20"/>
  <c r="Y26" i="20"/>
  <c r="W27" i="20"/>
  <c r="Y21" i="20"/>
  <c r="W22" i="20"/>
  <c r="S49" i="20"/>
  <c r="V34" i="20"/>
  <c r="S34" i="20"/>
  <c r="V24" i="20"/>
  <c r="S24" i="20"/>
  <c r="O36" i="20"/>
  <c r="P35" i="20"/>
  <c r="B14" i="20" a="1"/>
  <c r="B14" i="20"/>
  <c r="B50" i="20" a="1"/>
  <c r="B105" i="20" a="1"/>
  <c r="B105" i="20"/>
  <c r="J23" i="20"/>
  <c r="C24" i="20"/>
  <c r="D14" i="20"/>
  <c r="D24" i="20"/>
  <c r="E24" i="20"/>
  <c r="F14" i="20"/>
  <c r="F24" i="20"/>
  <c r="G24" i="20"/>
  <c r="H24" i="20"/>
  <c r="I24" i="20"/>
  <c r="J24" i="20"/>
  <c r="C25" i="20"/>
  <c r="D25" i="20"/>
  <c r="E15" i="20"/>
  <c r="E25" i="20"/>
  <c r="F15" i="20"/>
  <c r="F25" i="20"/>
  <c r="G25" i="20"/>
  <c r="H25" i="20"/>
  <c r="I25" i="20"/>
  <c r="J25" i="20"/>
  <c r="C26" i="20"/>
  <c r="D16" i="20"/>
  <c r="D26" i="20"/>
  <c r="E16" i="20"/>
  <c r="E26" i="20"/>
  <c r="F26" i="20"/>
  <c r="G26" i="20"/>
  <c r="H26" i="20"/>
  <c r="I26" i="20"/>
  <c r="J26" i="20"/>
  <c r="G27" i="20"/>
  <c r="H27" i="20"/>
  <c r="I27" i="20"/>
  <c r="J27" i="20"/>
  <c r="D104" i="20" a="1"/>
  <c r="C34" i="20"/>
  <c r="D34" i="20"/>
  <c r="E34" i="20"/>
  <c r="F34" i="20"/>
  <c r="G34" i="20"/>
  <c r="C35" i="20"/>
  <c r="D35" i="20"/>
  <c r="E35" i="20"/>
  <c r="F35" i="20"/>
  <c r="G35" i="20"/>
  <c r="C36" i="20"/>
  <c r="D36" i="20"/>
  <c r="E36" i="20"/>
  <c r="F36" i="20"/>
  <c r="G36" i="20"/>
  <c r="C37" i="20"/>
  <c r="D37" i="20"/>
  <c r="E37" i="20"/>
  <c r="F37" i="20"/>
  <c r="G37" i="20"/>
  <c r="H104" i="20" a="1"/>
  <c r="C51" i="20" a="1"/>
  <c r="C51" i="20"/>
  <c r="G51" i="20"/>
  <c r="C60" i="20"/>
  <c r="C59" i="20"/>
  <c r="F58" i="20"/>
  <c r="F59" i="20"/>
  <c r="H51" i="20"/>
  <c r="G52" i="20"/>
  <c r="H52" i="20"/>
  <c r="G53" i="20"/>
  <c r="H53" i="20"/>
  <c r="G54" i="20"/>
  <c r="H54" i="20"/>
  <c r="I104" i="20" a="1"/>
  <c r="C61" i="20" a="1"/>
  <c r="C61" i="20"/>
  <c r="K105" i="20"/>
  <c r="K106" i="20"/>
  <c r="K107" i="20"/>
  <c r="K108" i="20"/>
  <c r="L105" i="20" a="1"/>
  <c r="D104" i="20"/>
  <c r="H104" i="20"/>
  <c r="I104" i="20"/>
  <c r="L105" i="20"/>
  <c r="B91" i="20" a="1"/>
  <c r="A97" i="20"/>
  <c r="A96" i="20"/>
  <c r="A95" i="20"/>
  <c r="A101" i="20"/>
  <c r="B91" i="20"/>
  <c r="A100" i="20"/>
  <c r="A99" i="20"/>
  <c r="K44" i="20"/>
  <c r="K43" i="20"/>
  <c r="K42" i="20"/>
  <c r="K41" i="20"/>
  <c r="E40" i="22"/>
  <c r="E41" i="22"/>
  <c r="E42" i="22"/>
  <c r="E43" i="22"/>
  <c r="C50" i="22"/>
  <c r="E69" i="22"/>
  <c r="E70" i="22"/>
  <c r="C57" i="22"/>
  <c r="D71" i="22"/>
  <c r="E71" i="22"/>
  <c r="E47" i="22"/>
  <c r="E46" i="22"/>
  <c r="F40" i="22"/>
  <c r="F41" i="22"/>
  <c r="F42" i="22"/>
  <c r="F43" i="22"/>
  <c r="E48" i="22"/>
  <c r="C52" i="22"/>
  <c r="E67" i="22"/>
  <c r="E74" i="22"/>
  <c r="E66" i="22"/>
  <c r="D67" i="22"/>
  <c r="K7" i="15"/>
  <c r="C12" i="15"/>
  <c r="C11" i="15"/>
  <c r="J7" i="15"/>
  <c r="L7" i="15"/>
  <c r="C13" i="15"/>
  <c r="K8" i="15"/>
  <c r="J8" i="15"/>
  <c r="L8" i="15"/>
  <c r="K9" i="15"/>
  <c r="J9" i="15"/>
  <c r="L9" i="15"/>
  <c r="K10" i="15"/>
  <c r="J10" i="15"/>
  <c r="L10" i="15"/>
  <c r="K11" i="15"/>
  <c r="J11" i="15"/>
  <c r="L11" i="15"/>
  <c r="K12" i="15"/>
  <c r="J12" i="15"/>
  <c r="L12" i="15"/>
  <c r="K13" i="15"/>
  <c r="J13" i="15"/>
  <c r="L13" i="15"/>
  <c r="K14" i="15"/>
  <c r="J14" i="15"/>
  <c r="L14" i="15"/>
  <c r="K15" i="15"/>
  <c r="J15" i="15"/>
  <c r="L15" i="15"/>
  <c r="K16" i="15"/>
  <c r="J16" i="15"/>
  <c r="L16" i="15"/>
  <c r="K17" i="15"/>
  <c r="J17" i="15"/>
  <c r="L17" i="15"/>
  <c r="K18" i="15"/>
  <c r="J18" i="15"/>
  <c r="L18" i="15"/>
  <c r="K19" i="15"/>
  <c r="J19" i="15"/>
  <c r="L19" i="15"/>
  <c r="K20" i="15"/>
  <c r="J20" i="15"/>
  <c r="L20" i="15"/>
  <c r="K21" i="15"/>
  <c r="J21" i="15"/>
  <c r="L21" i="15"/>
  <c r="K22" i="15"/>
  <c r="J22" i="15"/>
  <c r="L22" i="15"/>
  <c r="K23" i="15"/>
  <c r="J23" i="15"/>
  <c r="L23" i="15"/>
  <c r="K24" i="15"/>
  <c r="J24" i="15"/>
  <c r="L24" i="15"/>
  <c r="K25" i="15"/>
  <c r="J25" i="15"/>
  <c r="L25" i="15"/>
  <c r="K26" i="15"/>
  <c r="J26" i="15"/>
  <c r="L26" i="15"/>
  <c r="K27" i="15"/>
  <c r="J27" i="15"/>
  <c r="L27" i="15"/>
  <c r="J29" i="15" a="1"/>
  <c r="J29" i="15"/>
  <c r="F4" i="15"/>
  <c r="E5" i="15"/>
  <c r="F5" i="15"/>
  <c r="G4" i="15"/>
  <c r="C14" i="15"/>
  <c r="C7" i="15"/>
  <c r="C16" i="15"/>
  <c r="E4" i="15"/>
  <c r="C17" i="15"/>
  <c r="C33" i="15"/>
  <c r="D5" i="15"/>
  <c r="E6" i="12"/>
  <c r="D5" i="12"/>
  <c r="E5" i="12"/>
  <c r="C62" i="22" a="1"/>
  <c r="C62" i="22"/>
  <c r="D62" i="22"/>
  <c r="E62" i="22"/>
  <c r="F62" i="22"/>
  <c r="G62" i="22"/>
  <c r="H62" i="22"/>
  <c r="D58" i="22"/>
  <c r="D61" i="22"/>
  <c r="E57" i="22"/>
  <c r="E58" i="22"/>
  <c r="E61" i="22"/>
  <c r="F57" i="22"/>
  <c r="F58" i="22"/>
  <c r="F61" i="22"/>
  <c r="G58" i="22"/>
  <c r="G61" i="22"/>
  <c r="H58" i="22"/>
  <c r="H61" i="22"/>
  <c r="C58" i="22"/>
  <c r="C61" i="22"/>
  <c r="D73" i="22"/>
  <c r="O58" i="22"/>
  <c r="R57" i="22"/>
  <c r="P58" i="22"/>
  <c r="O56" i="22"/>
  <c r="H59" i="22"/>
  <c r="G59" i="22"/>
  <c r="F59" i="22"/>
  <c r="E59" i="22"/>
  <c r="D59" i="22"/>
  <c r="C59" i="22"/>
  <c r="O55" i="22"/>
  <c r="O53" i="22"/>
  <c r="R52" i="22"/>
  <c r="P53" i="22"/>
  <c r="O51" i="22"/>
  <c r="O50" i="22"/>
  <c r="O40" i="22"/>
  <c r="O45" i="22"/>
  <c r="O43" i="22"/>
  <c r="R42" i="22"/>
  <c r="P43" i="22"/>
  <c r="O48" i="22"/>
  <c r="R47" i="22"/>
  <c r="P48" i="22"/>
  <c r="L50" i="22"/>
  <c r="C51" i="22"/>
  <c r="O46" i="22"/>
  <c r="O41" i="22"/>
  <c r="K26" i="22"/>
  <c r="L26" i="22"/>
  <c r="H26" i="22"/>
  <c r="G26" i="22"/>
  <c r="F26" i="22"/>
  <c r="E26" i="22"/>
  <c r="D26" i="22"/>
  <c r="D7" i="22"/>
  <c r="C9" i="22"/>
  <c r="C13" i="22"/>
  <c r="C26" i="22"/>
  <c r="B26" i="22"/>
  <c r="N25" i="22"/>
  <c r="M25" i="22"/>
  <c r="L25" i="22"/>
  <c r="K25" i="22"/>
  <c r="J25" i="22"/>
  <c r="H25" i="22"/>
  <c r="G25" i="22"/>
  <c r="F25" i="22"/>
  <c r="E25" i="22"/>
  <c r="D25" i="22"/>
  <c r="E7" i="22"/>
  <c r="E6" i="22"/>
  <c r="D67" i="20"/>
  <c r="C67" i="20"/>
  <c r="F61" i="20"/>
  <c r="D68" i="20"/>
  <c r="C68" i="20"/>
  <c r="D69" i="20"/>
  <c r="C69" i="20"/>
  <c r="D70" i="20"/>
  <c r="C70" i="20"/>
  <c r="D71" i="20"/>
  <c r="C71" i="20"/>
  <c r="D72" i="20"/>
  <c r="C72" i="20"/>
  <c r="D73" i="20"/>
  <c r="C73" i="20"/>
  <c r="D74" i="20"/>
  <c r="C74" i="20"/>
  <c r="D75" i="20"/>
  <c r="C75" i="20"/>
  <c r="D76" i="20"/>
  <c r="C76" i="20"/>
  <c r="D77" i="20"/>
  <c r="C77" i="20"/>
  <c r="D78" i="20"/>
  <c r="C78" i="20"/>
  <c r="D79" i="20"/>
  <c r="C79" i="20"/>
  <c r="D80" i="20"/>
  <c r="C80" i="20"/>
  <c r="D81" i="20"/>
  <c r="C81" i="20"/>
  <c r="D82" i="20"/>
  <c r="C82" i="20"/>
  <c r="D83" i="20"/>
  <c r="C83" i="20"/>
  <c r="D84" i="20"/>
  <c r="C84" i="20"/>
  <c r="D85" i="20"/>
  <c r="C85" i="20"/>
  <c r="D86" i="20"/>
  <c r="C86" i="20"/>
  <c r="D87" i="20"/>
  <c r="C87" i="20"/>
  <c r="E67" i="20"/>
  <c r="E68" i="20"/>
  <c r="E69" i="20"/>
  <c r="E70" i="20"/>
  <c r="E71" i="20"/>
  <c r="E72" i="20"/>
  <c r="E73" i="20"/>
  <c r="E74" i="20"/>
  <c r="E75" i="20"/>
  <c r="E76" i="20"/>
  <c r="E77" i="20"/>
  <c r="E78" i="20"/>
  <c r="E79" i="20"/>
  <c r="E80" i="20"/>
  <c r="E81" i="20"/>
  <c r="E82" i="20"/>
  <c r="E83" i="20"/>
  <c r="E84" i="20"/>
  <c r="E85" i="20"/>
  <c r="E86" i="20"/>
  <c r="E87" i="20"/>
  <c r="C64" i="20" a="1"/>
  <c r="C64" i="20"/>
  <c r="E9" i="20"/>
  <c r="A98" i="20"/>
  <c r="A94" i="20"/>
  <c r="A93" i="20"/>
  <c r="A92" i="20"/>
  <c r="B50" i="20"/>
  <c r="C50" i="20" a="1"/>
  <c r="C50" i="20"/>
  <c r="C33" i="20" a="1"/>
  <c r="C33" i="20"/>
  <c r="C23" i="20" a="1"/>
  <c r="C23" i="20"/>
  <c r="B23" i="20" a="1"/>
  <c r="B23" i="20"/>
  <c r="B33" i="20" a="1"/>
  <c r="B33" i="20"/>
  <c r="F16" i="20"/>
  <c r="E7" i="20"/>
  <c r="C89" i="6"/>
  <c r="B89" i="6"/>
  <c r="E85" i="6"/>
  <c r="D19" i="6"/>
  <c r="C20" i="6"/>
  <c r="D20" i="6"/>
  <c r="C24" i="6" a="1"/>
  <c r="C24" i="6"/>
  <c r="E24" i="6"/>
  <c r="E25" i="6"/>
  <c r="B83" i="6"/>
  <c r="G48" i="6"/>
  <c r="H48" i="6"/>
  <c r="H41" i="6"/>
  <c r="G41" i="6"/>
  <c r="H49" i="6"/>
  <c r="G49" i="6"/>
  <c r="C70" i="6" a="1"/>
  <c r="E71" i="6"/>
  <c r="D80" i="6"/>
  <c r="C70" i="6"/>
  <c r="E70" i="6"/>
  <c r="D79" i="6"/>
  <c r="C49" i="6"/>
  <c r="C79" i="6"/>
  <c r="C80" i="6"/>
  <c r="E80" i="6"/>
  <c r="E79" i="6"/>
  <c r="C48" i="6"/>
  <c r="D48" i="6"/>
  <c r="D49" i="6"/>
  <c r="G52" i="6" a="1"/>
  <c r="G52" i="6"/>
  <c r="G66" i="6" a="1"/>
  <c r="G66" i="6"/>
  <c r="I66" i="6"/>
  <c r="G60" i="6" a="1"/>
  <c r="G60" i="6"/>
  <c r="I60" i="6"/>
  <c r="G65" i="6" a="1"/>
  <c r="G65" i="6"/>
  <c r="G61" i="6" a="1"/>
  <c r="G61" i="6"/>
  <c r="I61" i="6"/>
  <c r="D50" i="6"/>
  <c r="H12" i="6" a="1"/>
  <c r="H12" i="6"/>
  <c r="J12" i="6"/>
  <c r="J13" i="6"/>
  <c r="I65" i="6"/>
  <c r="E81" i="6"/>
  <c r="E83" i="6"/>
  <c r="J19" i="6"/>
  <c r="R3" i="6"/>
  <c r="J17" i="6"/>
  <c r="F24" i="6"/>
  <c r="J16" i="6"/>
  <c r="J18" i="6"/>
  <c r="J20" i="6"/>
  <c r="F25" i="6"/>
  <c r="E84" i="19"/>
  <c r="E78" i="19"/>
  <c r="E79" i="19"/>
  <c r="E80" i="19"/>
  <c r="E82" i="19"/>
  <c r="E76" i="19"/>
  <c r="D82" i="19"/>
  <c r="D80" i="19"/>
  <c r="O56" i="19"/>
  <c r="O51" i="19"/>
  <c r="O46" i="19"/>
  <c r="O58" i="19"/>
  <c r="O53" i="19"/>
  <c r="O48" i="19"/>
  <c r="O43" i="19"/>
  <c r="O55" i="19"/>
  <c r="O50" i="19"/>
  <c r="O45" i="19"/>
  <c r="O41" i="19"/>
  <c r="O40" i="19"/>
  <c r="R57" i="19"/>
  <c r="P58" i="19"/>
  <c r="R52" i="19"/>
  <c r="P53" i="19"/>
  <c r="R47" i="19"/>
  <c r="P48" i="19"/>
  <c r="R42" i="19"/>
  <c r="P43" i="19"/>
  <c r="L50" i="19"/>
  <c r="C54" i="19"/>
  <c r="E40" i="19"/>
  <c r="E41" i="19"/>
  <c r="E42" i="19"/>
  <c r="E43" i="19"/>
  <c r="C45" i="19"/>
  <c r="C50" i="19"/>
  <c r="C55" i="19"/>
  <c r="C56" i="19"/>
  <c r="D55" i="19"/>
  <c r="D56" i="19"/>
  <c r="E54" i="19"/>
  <c r="E55" i="19"/>
  <c r="E56" i="19"/>
  <c r="F54" i="19"/>
  <c r="F55" i="19"/>
  <c r="F56" i="19"/>
  <c r="G55" i="19"/>
  <c r="G56" i="19"/>
  <c r="H55" i="19"/>
  <c r="H56" i="19"/>
  <c r="D7" i="19"/>
  <c r="E7" i="19"/>
  <c r="E6" i="19"/>
  <c r="D26" i="19"/>
  <c r="E26" i="19"/>
  <c r="K26" i="19"/>
  <c r="L26" i="19"/>
  <c r="F26" i="19"/>
  <c r="G26" i="19"/>
  <c r="H26" i="19"/>
  <c r="C9" i="19"/>
  <c r="C13" i="19"/>
  <c r="C26" i="19"/>
  <c r="B26" i="19"/>
  <c r="N25" i="19"/>
  <c r="M25" i="19"/>
  <c r="L25" i="19"/>
  <c r="K25" i="19"/>
  <c r="J25" i="19"/>
  <c r="H25" i="19"/>
  <c r="G25" i="19"/>
  <c r="F25" i="19"/>
  <c r="E25" i="19"/>
  <c r="D25" i="19"/>
  <c r="P41" i="18"/>
  <c r="N42" i="18"/>
  <c r="P36" i="18"/>
  <c r="N37" i="18"/>
  <c r="P31" i="18"/>
  <c r="N32" i="18"/>
  <c r="P26" i="18"/>
  <c r="N27" i="18"/>
  <c r="P21" i="18"/>
  <c r="N22" i="18"/>
  <c r="P11" i="18"/>
  <c r="N12" i="18"/>
  <c r="P6" i="18"/>
  <c r="N7" i="18"/>
  <c r="J37" i="18"/>
  <c r="J24" i="18"/>
  <c r="P16" i="18"/>
  <c r="J17" i="18"/>
  <c r="J9" i="18"/>
  <c r="F30" i="18"/>
  <c r="G29" i="18"/>
  <c r="F13" i="18"/>
  <c r="G12" i="18"/>
  <c r="B21" i="18"/>
  <c r="C20" i="18"/>
  <c r="E8" i="12"/>
  <c r="C20" i="12"/>
  <c r="C23" i="12"/>
  <c r="H17" i="11"/>
  <c r="E8" i="11"/>
  <c r="E7" i="11"/>
  <c r="N21" i="10"/>
  <c r="L22" i="10"/>
  <c r="N16" i="10"/>
  <c r="L17" i="10"/>
  <c r="N11" i="10"/>
  <c r="L12" i="10"/>
  <c r="N6" i="10"/>
  <c r="L7" i="10"/>
  <c r="A11" i="4"/>
  <c r="B11" i="4"/>
  <c r="C50" i="6"/>
  <c r="E34" i="6"/>
  <c r="E33" i="6"/>
  <c r="E20" i="6"/>
  <c r="E19" i="6"/>
  <c r="J8" i="6"/>
  <c r="J7" i="6"/>
  <c r="D9" i="11"/>
  <c r="C9" i="11"/>
  <c r="E9" i="11"/>
  <c r="H8" i="11"/>
  <c r="I8" i="11"/>
  <c r="I7" i="11"/>
  <c r="H7" i="11"/>
  <c r="I9" i="11"/>
  <c r="I17" i="11"/>
  <c r="J8" i="11"/>
  <c r="I23" i="11"/>
  <c r="J7" i="11"/>
  <c r="H22" i="11"/>
  <c r="H9" i="11"/>
  <c r="H16" i="11"/>
  <c r="I16" i="11"/>
  <c r="H23" i="11"/>
  <c r="I22" i="11"/>
  <c r="J9" i="11"/>
  <c r="H9" i="10"/>
  <c r="H19" i="10"/>
  <c r="J22" i="6"/>
  <c r="D14" i="10"/>
  <c r="E13"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<sst xmlns="http://schemas.openxmlformats.org/spreadsheetml/2006/main" count="732" uniqueCount="357">
  <si>
    <t>States of Nature</t>
  </si>
  <si>
    <t>Rain</t>
  </si>
  <si>
    <t>Sun</t>
  </si>
  <si>
    <t>Decisions</t>
  </si>
  <si>
    <t>Ice Cream Truck</t>
  </si>
  <si>
    <t>Coffee Truck</t>
  </si>
  <si>
    <t>Win/Profit</t>
  </si>
  <si>
    <t>Win / Profit</t>
  </si>
  <si>
    <t>Outcomes</t>
  </si>
  <si>
    <t>Probabilities</t>
  </si>
  <si>
    <t>$ Value</t>
  </si>
  <si>
    <t>Expected Value</t>
  </si>
  <si>
    <t>EV</t>
  </si>
  <si>
    <t>Expected Value with New Information on Weather</t>
  </si>
  <si>
    <t>Optimal Strategy</t>
  </si>
  <si>
    <t>Optimal Strategy Value - Average Daily Sales</t>
  </si>
  <si>
    <t>Value of Perfect Information</t>
  </si>
  <si>
    <t>Potential Improvement due to better forecasting</t>
  </si>
  <si>
    <t>Bayes Theorem using Conditional Probabilities</t>
  </si>
  <si>
    <t>Average Sun Vs. Rain Days during the summer season</t>
  </si>
  <si>
    <t>Decision Strategy for improving Seasonal Profit</t>
  </si>
  <si>
    <t>New Information</t>
  </si>
  <si>
    <t>Sunny Forecast (x1)</t>
  </si>
  <si>
    <t>Rain Forecast (x2)</t>
  </si>
  <si>
    <t>Sun (b1)</t>
  </si>
  <si>
    <t>Rain (b2)</t>
  </si>
  <si>
    <t>Total</t>
  </si>
  <si>
    <t>New Information on the probability of a sunny day given a Sunny Forecast</t>
  </si>
  <si>
    <t>Posterior Probabilities</t>
  </si>
  <si>
    <t>Weighted States of Nature</t>
  </si>
  <si>
    <t>P(b1|x1)</t>
  </si>
  <si>
    <t>EV on a Sunny Day</t>
  </si>
  <si>
    <t>EV on a Rainy Day</t>
  </si>
  <si>
    <t>Total EV</t>
  </si>
  <si>
    <t>Sunny Day</t>
  </si>
  <si>
    <t>Rainy Day</t>
  </si>
  <si>
    <t>Decision under Uncertainty with Additional Information</t>
  </si>
  <si>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</si>
  <si>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</si>
  <si>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</si>
  <si>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</si>
  <si>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</si>
  <si>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</si>
  <si>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</si>
  <si>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</si>
  <si>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</si>
  <si>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</si>
  <si>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</si>
  <si>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</si>
  <si>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af5fd88f-29cc-4edd-a074-652e8da226ac</t>
  </si>
  <si>
    <t>CB_Block_0</t>
  </si>
  <si>
    <t>Decisioneering:7.0.0.0</t>
  </si>
  <si>
    <t>CB_Block_7.0.0.0:1</t>
  </si>
  <si>
    <t>7735312c-5dca-4f22-a017-d60f4b0e9b0a</t>
  </si>
  <si>
    <t>Ice cream + tacos</t>
  </si>
  <si>
    <t>ID</t>
  </si>
  <si>
    <t>Name</t>
  </si>
  <si>
    <t>Value</t>
  </si>
  <si>
    <t>Prob</t>
  </si>
  <si>
    <t>Pred</t>
  </si>
  <si>
    <t>Kind</t>
  </si>
  <si>
    <t>NS</t>
  </si>
  <si>
    <t>S1</t>
  </si>
  <si>
    <t>S2</t>
  </si>
  <si>
    <t>S3</t>
  </si>
  <si>
    <t>S4</t>
  </si>
  <si>
    <t>S5</t>
  </si>
  <si>
    <t>Row</t>
  </si>
  <si>
    <t>Col</t>
  </si>
  <si>
    <t>Mark</t>
  </si>
  <si>
    <t>TreePlan</t>
  </si>
  <si>
    <t>D</t>
  </si>
  <si>
    <t>E</t>
  </si>
  <si>
    <t>T</t>
  </si>
  <si>
    <t>Coffee + donuts</t>
  </si>
  <si>
    <t>Skilled Workers</t>
  </si>
  <si>
    <t>Unskilled Workers</t>
  </si>
  <si>
    <t>Employed</t>
  </si>
  <si>
    <t>Unemployed</t>
  </si>
  <si>
    <t>Marginal Probability of B</t>
  </si>
  <si>
    <t>Maginal Probability of A</t>
  </si>
  <si>
    <t>Eric Torkia, 2024</t>
  </si>
  <si>
    <t>Calculating proportions and probabilities</t>
  </si>
  <si>
    <t>Big City Labor Force Statistics, July 20xx</t>
  </si>
  <si>
    <t>Joint and Marginal Probabilities</t>
  </si>
  <si>
    <t>Probabilites of A|B</t>
  </si>
  <si>
    <t>Probabilites of B|A</t>
  </si>
  <si>
    <t>(Loss)</t>
  </si>
  <si>
    <t xml:space="preserve">Return </t>
  </si>
  <si>
    <t>Address</t>
  </si>
  <si>
    <t>Formula</t>
  </si>
  <si>
    <t>E7</t>
  </si>
  <si>
    <t>E10</t>
  </si>
  <si>
    <r>
      <t xml:space="preserve"> EV = (Prob. Of Survival </t>
    </r>
    <r>
      <rPr>
        <sz val="11"/>
        <color theme="1"/>
        <rFont val="Calibri"/>
        <family val="2"/>
      </rPr>
      <t>x</t>
    </r>
    <r>
      <rPr>
        <i/>
        <sz val="11"/>
        <color theme="1"/>
        <rFont val="Calibri"/>
        <family val="2"/>
        <scheme val="minor"/>
      </rPr>
      <t xml:space="preserve">  Return) + ((1-Prob. Of Survival) x Value of Life)</t>
    </r>
  </si>
  <si>
    <t>EV Formula</t>
  </si>
  <si>
    <t>Eric Torkia, Decision Superhero, 2024</t>
  </si>
  <si>
    <t>㜸〱敤㕣㕢㙣ㅣ搷㜹摥㤹扤㜰㘷挹ㄵ㘹㔱㤶㉣挵戱㤹搸㡥㉦㔴ㄹ㔱戶敡㈸慤慡昲㘲㑡㡣㈹㠹㌶㈹戹㑥搲㔰挳摤㌳攴㐸㍢戳昴捣㉣㐵摡㑡㘵ㄴ㝤㘹㤰㈰㌷〴㠸㜳㘹㙥㐸㠱扥愴攸㡢㥢愰㜹㈹㔰愰㐵攱〰㝤㐸ぢㄴ攸㠳ㅢㄴ挹㐳㡡㐲㐰㕦昲㄰㈰晤扥㝦㘶㜶㘷㜷戹㐳㝡㙤户㜴挱㈳敦攱㤹晦㕣收㥣昳㕦捦晦㥦㜱㐶换㘴㌲扦㐱攲㕦愶ㅣぢ昷㉦㙤晢㠱㜲㈶㘶敡戵㥡慡〴㜶摤昵㈷愶㍣捦摣㕥戰晤㈰㡢〶㠵ㄵㅢ昵㝥㝥挵户㕦㔶挵㤵㑤攵昹㘸㤴捦㘴㡡㐵㐳㐷㍤〷攱㙦㈴㝥㌰搸㙢㈸㠷㙣㜹㘶晡捡敡つ㡣扡ㄴ搴㍤㜵㜲散㕡搸昷摣攴攴挴攴挴㔳㘷㈶㑦㑦㥣㍡㌹㌶搳愸〵つ㑦㥤㜳㔵㈳昰捣摡挹戱挵挶㙡捤慥㍣慢戶㤷敢㌷㤵㝢㑥慤㥥㝡㜲搵㝣敡㈳㤳㑦㥤㌹㘳㥤㍤晢㤱㈱扣㍡㜳㜹㘶㝡搱㔳㤶晦づ㡤㤹攷㤴㥦㥡㔵ㄵ㥢㙢㔳捡戳摤戵㠹㤹㘹晣㤷㤸㍦㥥㥥㥥㔸㕡㔷㉡攰慢㤵愷摣㡡昲つ㜴ㅣ㜴愶㝣扦攱㙣㜰昳っ㘷づ㑢慤㤸㝥㤰㜷㘶㔴慤㘶㌸昱愸㐵攷ち昶慥㘶㙥て㌹㑢捡昵敤挰摥戴㠳敤㠲戳㡣㠱慡㘵攷慡慦㥥㌷摤㌵㜵搹㜴㔴摥戹搰戰慢戹㌰㘵戲㡦挶㐳㈴㈷㈶换㥦㤸昲㥤㤹㜵搳㤳ㄹ昹摣㤸㤴戶㜳㕥愵扤敤㐳扤挷攵搴攵つㅣ昳㤱摥敤㔰㜳捤昴㥡㉤挷㝢户㡣ㄶ摦㍥㠳て昷㙥㥦搸愳昶㍥㡦昷敥㈳㕢搹摥㕡ㅢ㡣攸㕢㜶ㄴ㡢㌱ち捣〶㤸ㄵ㤹ㄱ㠱㐶㠹搹㈰戳㈱㘴㕡敥扦挱㈵挹㡥慣搲㔷㑣㝤㘵㔵㕦愹攸㉢㔵㝤㐵改㉢㤶扥戲愶慦慣敢㉢戶扥㜲㐳㕦戹㠹㌶㜱㉡づっ攸㔱㝡散㔳㑦㥦㝤昸㕦收ㄷ扥㜲晢捣㡢㕢㠳㘷㕦ㅢ㍡㠴㐶捦㐵㤳㥡昵捣㕢㈰戵ㄶㄵ㠳㈳昸㙦㜷慥〰㔳㔸㘷慣愷慤挹挹敡㤹㔳收㤳㘶㥥换㑡㐱㝥ㅢ愱㡣愰敤㤰昵㠲敤㔶敢户〴㜷昷㑦㥢扥㙡㙤摣㜸㔴㌷㕤㙦戸㔵晦㝤㍢㔷㉥〵㘶愰㑥㜴搶戵〶改敡戶〴戶㔲扥扣敦㠱捥㙥搷捣㕡㐳㑤㙤搹㘱昵晢㍢慡㥤㐵慦扥摡扢㜶捥㔳㉦㌵㙢扢㘶㌴〵愱戶㈹㘳㜷慤㌲慣ち攷㌵㌶戳㕥昷㤵㉢搳ㅢ㜷ㄶ敤捡㑤攵㉤㈹㡡㐴㔵㤵愵摥换慡㠸敢挷慦戸㔸㈸戸戵晡挱㈴搴㝡㘶㉢〰㌳慢㉡收扢愱扣㘰㝢搹㕣慤愹愳㙤㑤挲㜷愲攲㜸ㅢ㜸慥㕥㘹昸㌳㜵㌷昰敡戵昶㥡愹敡愶〹㐹㔳扤㔴慦慡㕣㉥㈳㐲〱〲㌷㥢搵戴捣ㄳ扤㜹㐱㄰㤱㐰㌱ㄹ昹扥㜶戲㥢㜸ㅥ慢挳㉡㙡㡡㌴愹㍦扣换㘰㥣慦挸㤸ㄴづ㑣慣㠹晡㠳㉦㝤㙣㤷㘱㥢㤸㝢㜷ㅢ敢晡㘸戴晡㘷㌶㤵ㅢ㕣㌴摤㙡㑤㜹愹摡㑦攳㡣㡣㘱㘴昹扢㄰〸㍤㜷㡦慡㑥摢搲戶昳户散㙡戰㕥㔸㔷昶摡㝡〰ㄸ㌴㘴戱挸慤敤㑡挶㍤〰ㄹ㠷㤹㡤㈲㉢㤵㌲㠵㈳㙣㔴㈸㈱㘵昲㤴㑥㈹扣摣㈶挸搹慦㡤㤷㠷慣㌹扢ㄶ愸㔰㈸て㕢挰㐸愸搵〴㝤㘵㤲愸㘷㔶㐲㠵㜱挴㥡〱㤵㥡戶ㅢ㙣户昸戶㡢㑢㐲㈲㍡㤰〵晢㑥ㄶ㔰ㄴ戴换㠳ㄴ㕥〳搱㜴㐸㠳昴挶〹㈲㈲ㅢ愴㘸㜶㡣摣㑥㘴㙣㥦㈲㈳搰㍥㐹㠴㙣㝤慡户㡣㈰戱㜷ㄳ㈹㍢昵攴挷〳㘹戶㤳㉤ㅦ㑡戳㝢戱㜱挶㔱㘶挷㤸摤挷散㌸㌲敤攷㤰㜰㤴㜲㈸户㈷攳㝤㜸㌶敥㘷昶㝥㘴㤰㑦〶㘵㑥㈴慡㘸㐳敤挵㡥㘴扢㌲散㘴㌱㡡㐳㔱㐴换戸㘹㘷㤶ㅤ㐱㜴㘴㜵敥て㕤㥢ㄳㅤ晢愱摥戴㤹㕣づ㈹㌲愵㘹㜲慤扢㌴㑤㙥〴㥢昶愹户ㅥ㐴㔷㘳㡣搹〷㤰㤵㡣て㌲㠷㜲愱挱扢㌷㡢㥥㈶攵㝢挲㉣ち㡤愱㍥ㄵ㝣㐴挸㍣〲愴〸戹慥攳换㠱つ㑤㜳㜰摣㝡捦摢搰㈷㝢昳㜷㠴昴づ扤㜹愰㜷攸㉦㝡㡢㔶昴㐳㘰㉦敤摦㝡敡㤸㐷㔰㙤㝣㠸搹愳挸㍡㜴っ㑦摦㙦搵㔳㈰㘶戱㤳挰摣㘱㝡㕤挴捡㕤摥摥㔰愲㠱㠶慣㘵搳㕢㔳〱㍣ㄸ昳戳戰㠵敢㥥愷㙡㌸搴㔶〵挰昳换戱㜶愰㍦攷搵ㅤ挲て㙣㘴晦㍤愱ㄸ㜲㌹㍤㥢改戰㤱㔳㙣捤㠴捦㈹㐱㌹搴挱㑦昶ㄶㄲ㠹㑥敤攴挵㝥改攷换〳㐹搲㠷㈴㜹ㅣ摢㙡㍣㠱っ㔲㐲晢攷㥥ㄲ攵㈴㥢晤㤶㌴㙢户㔸改攱㑢㌹㥤㜴昸㄰扢攴挸㘰攸戰㥤㠶晦挰㉦㍢㑢戶搳ㄴㄶ㠳捥愲昲㉡昰㉤搸㌵㔵ち摤戲ㄴ㌵〷戲攲㍤㈲㉢戲搹慥昳㜴㡡㝦㑤攸愴㐳㑡愴㜲㝢㙡㘵捡㔹扣㐵㔴㜴㐳㔲愸愴戸㠶㥡ㄲ㠸㤴挷戶〷㈲愶てㄱ昳㘱㙣㥣㜱㡡搹㈴戳搳挸昲㍦㠱愴搹敢挶㌳ㅣ㌶戰㐹㤷昶捡㑡愶㐸㌴㠸㡢昰㡤㥥挲敡っ㕦昳摢捣㥥㐶搶㘱晥搰〱㤹㐲㠸㠲昲〴㈱㑡ㄸ挳扡㘶慢㕢愴㠱㐳ㄶ〲㑢㌳つ㍦愸㍢㡣㉣㤵慤搹晡攵㝡㌰㙢晢ㅢ㠸㐴㡤㕡㔱攱㠵㜵攵㠲扡㍣搸㍥ㅤ戰晡挶㠶慡ㅡ搶㔲扤〱搱㌶㍦扢ㅦづ收搸づ搸㤲㜲㌶搷㌵愴晥捥挷ㄸ㐲挳㑥㡢扦㤵摥搸㍤㜹扦㜹攸ㅢ㙥敤攸戲ㅤ搴搴愰ㄵ㌲ㅤ换㐵ぢ扢㠸挸㐱㜵挰㕡㕥昷㤴㥡㉤㕢ㄷ㍣扢㕡戳㕤㐵㘴挰挶㘴戰㙥㐱慤㈱㑡戰㔸㘷っ戰敥㤶慤㘵捦㜴晤つ㤳〱挵敤挳㙤㑦ㄲㄶ挹㕢搳戶敢攳㌵㠲㐵㤶㠷慤愵昵晡㉤㐴㙣ㅢ㡥㝢挱摣昰昷〵㔶㐸昴㘱ㄲ搴㘸扡愶敢㕡㔱㉦昶㡢ㅦㅥ挸㌳ㄹ昲㕥㡥㤹攰㉡㤳愷捦㍣㐵㝢搳慥㡦㘲㌴戴搳㌹愷㈱㐴㡦㥡挰㙣慡ㄴ㈶愷ㅡ㘷搹攷愳挸㍥㜶攱敡㝣㉢㌲昷戶㘲搶㜹㝡昹㔳㘴扣㤰㐵㌳㄰㐲ㅦ摤愱㤰㔴〸㈳攵㠰〳㠱㜱㍥㜵㤲㕦挹㤲㌶愴扥㐳慤攲ㅣ㈲㐹㐳搶㠲戹慡㙡㠸㐷㍢㘶㜰㈸㝣愰ㄹ敢㤸㌵㍦慡㥢愹㍢㡥㐹搲㈲㔹㉥㔵㑣㔲昰㔴㈳愸㕦戲㕤挳㐲㈶昴ㄷ㠱捣㉤㠰捣㉤〱つ㔹捦㌳㌴㈸㘵㡥㔵㕦㌳㍤㍢㔸㜷散㑡㤱てっ摦敤ぢ㥡〴㤳㔳昲挶㈹㤶ㄹ㘳ㅤ搶晣㔵㤸㙣晥〴搰㍤〱㌹捡慤㈳晡㐱戹扡㔶挰㍦慤㑦挷ㄲ〴㡣㜸㑡㡤摦挵㘸㜹戹ㅤ〱㤱㈳改㙥㝣〷攳敥ㅤ㐰㐲㈱㐴慣愷㤰〸扣㠲〹㈱㑦ㄷ㜷挱扡敡摡〱戰㐷㡣捤搹挱慣て㤴㈳㐳㔱㡥户㈷〴慢㠹㑥攳㑤慤昰㘰㜷㔵㥢㥡㜸愰扢㍥愹㌷ㅥ摥愱㍡搴㈸〹㐵戲㕢㈳搱㉣㍢捣㜱㍦愹ㅡ㑤ㄴ㜷慣㙤戴㌴户㘹㙢摦㈹㐵摥㠶㘲ㄲ㥡挹ㄸ扦㈷㠴㠲㐰㙦愴愳攸戳㑦㈷㡦㐴挴㠶㌶㐰㠹㝡㉡㠴㤵愳㤰攰㍣慥㥤㔴㔵㈹㝡〲㝦ㅦ㡡㡡㔷ㅡ㐱㕢㡤戹㌵ㅡ搵㑣搵㙡㔷㕣㔸〹ㄵ搳慢敥ㄳ㤶挶摡㐲つ㈳摣搹慦昶て户㌷挱㠸ㄱㅢ㌲㉣㤲攲〷〶ㅢ㠲戹ㄲㄱ㔵㕡㘷㘵㙥㜵ㄳ㕣攴搳㈵㘵扡㠲㠱愵愰㍡慢㌶挵っ㙢㔹昲愳搲愱㜹㕡ㄴ㌹㙡㔸㔳慢㍥㔴㝡㐰㌹ㅥ㤵㠴挱つ敢㜹扡愵㜰㠹〱㘲㌷㉡㉤㔶〲㠴㜶㥢〳昰㘴戰㝦戰㠳ㅤ〹㐳㈷戴捥㈸㐱ぢ㈹㠴摢扥〸昲㑥㥦ㄸ㠵㈰戵㈴晤搷㜹敤㙢慦㌱晤挵昹㑣㕣㠸㤸㠸攱慥ㄴ敢〱挸㑤㐶㈶挹㐵愳㜱挰㍣㤴㙣㈲戴㠶㘲ㄸ㑤㡣㌲㑤㍥㉦挰㉤ㅥ挶戲㠶挹㌶㌵摣㜳ぢ㙣㘸搳摡昶㈱㙢摥慤搴ㅡ㔵㈵慡㌸㤶搵愲㤱昷〵扥攴ち㘰挸㑤㈹晢ㄲ㙤捡㍣㡥㔲㕣㌲㤱搴扦摤㙤㥣㐷㜷ㄱ㜲ㄸ㈳㔴㝤っ㐰愶戸攵㈴㈰搶㜵㑦㠱昶攱攱搶〵〶戹㍣〷㤱搶〵愲㉣㕢挰㝤扣㘶ㄴ㔹戸㉤搱㙣愱扥㔰愷捤㥥〰㕤戴㐳搰扥挰ㄱ搶ㄹち扣㐲〱挶㐸㥦摣挱㐱㌲㜷愳攸敥摤㍢昲㤸戹ぢ㔴〸〶㌴挶㜸㜹ち捡㘰㔷挱㐸㌴戸昵㤶搵慤㌱晡㑢换摢㤸㐲愶㌱っ㑣㠳ㄶ㉤㐳〳㘷〶攵摤つ㥣〷搱㉡㈵㐲㥡っ愶㌲㐶㌹ち㠷㍤㤰〶㙥攲㐱㝡戹づ㈵ㄴㅣ㤱㡢㘱昱摤挴㜱〷㐷愰扡㜷戴〳戸㘸〶戸晥攲ㅥ敦〰㑦㔵慢㌴㜷攱㥦摢ㄷ㔸挵搵㡤搰ㅣ㍤搲㜱㈹㑢搶㐴晢敥愱㡥㡡攸戲攰改搹㠹㡢㘶㔰㔹㕦ち戶挳㡢㕢晤㤲㐴晥挷昰㐷散昸㜶摡捣㌹㤷ㄷ㔱㌷戹昷愵㥢㙥晤㤶㉢昳捡晢扣昵〷ち挱ㄵ捡〱㑥戲㤴昹つ晥㐹搲㌳昹扦挱㠸㝢㤹㌶〷㘸㌹㐸㌸づ㤳㔶㌲收昰㠷㐱敡㌱晣㑤愱ㄵ搸敦捤㥢〳愴㤵㈳ㅤ戴㈲挲攰㠰㔸摣戵㜷㡣㔸戴ㅦ〱戵㈴㤸昰㔸㡥㍤晦㜳戰扦昶㐳㐰㠸㜴㍣㐷愲㈴晦〱㤴㔲㔰㈷挲㍣扡收挱㑢㈱晦㝦戰ㄴ㜳昴㡥㉣昵扦挰搰摡㕦㜷愲攸〱愲攸昵㉥ㄴ㘹扣ち㈲㍣晣㙣㔴攰㐳㥥㈱摡户ㄴっ攷㥡づづ愱敦晡愵摦晦挳㐳攸㈵㘰㤸㐹散㌴㠴摢ㅥ㐱戹㘹㈶攸㕤㘶〲〳昸㘲㈶㕣㘶ㅦ㐶昲㐳㌳㈱昲㠳㉣〲戰扢㤹挰昸㕥㡡㌱㤸〸户㈶㕣ㅢ㍣㠵ㅤ㜵攸㈳扢㠸换户捡㐷㑣ㅦ㡡换㥦㠱㔷敡㔸㌷㜸搱昴㑣攷戸挰㉦㜸ちち捤㕢挶㙤㙥改挲ㅥ㈷㜶慣㤱㑥㍢昸㉢㘲㑦晢㠱㑦㘵㙦㜷搸㠱愹㌰㠵㉥㝣慤愸ㄵ摥㠶户㐴攳搹㈱昳捡㤱ㅦ㕣昸昷㤷晦攴㍣㙦慣㐵戴㥡㝦〲攵㝥挲昶戴㈷㄰搸㑤㕣ㄶ戹㤷ㅦ攷㕣挲㘷㑡昶㐶㑤㑤㥢㥥㔸㐲扥攱挴挵㤰昰ㄲ㠴ㄹㄲ摦㝥㌰㌳㜱昷㈱㌴㌳㈷㍡㕣㥥昲㜱㤳戸〹㈷ㄲㄳㄷ扦㕥ㅣ㍡搴㝡㉡戲㍥㉤捥晣㕦㐲ㄵ扤挵㠹戴㕢㡡㍣㜹㌲㘹摡て㍡㜵摤ㄹ敡扡昰㌰挳搰㝦㉣愵㄰㠳㈰㠵㈴て㌳扣ㄴ㈰㔲㙡〹㠵㍣㘳㝤㈹搱戵捥㌰㉦㝤〲〷㐲㐰㌵㉦晥昵昹㈱ぢ㜶ㄱ㔸㡣晤昱晤㥥㙡㘹㡢挶慡㠹攱㕡戱㘹㤶㔱㤰〳っ〱㤳㌱昴㉡ち㜱捡昳㘴扢㘷㤷ㄴ㕦㔲㜶挲攰㕢挸搸㜹㠷晥戶㤲昳㡣摢挰敤て攸㤹㠲㈸っ昷㌰挱㌸㤴㑡㥣㉥㙣㕡ち㐱捣㠷挳㘲戳搳㘰㔴〵㥤攵ㅥ挷挹ㄴ〱㐰㝥㉤挴晡昱搶搰昷㜶搶㔰挷戹〳㔸㈰㝦戰扦ㅥ㐸㘱㙣扣㤵ㅣ〳〹扢愷㔶挵昰㡡昸㌵㜴ㄱ㉢㕦㌳㕡㐵扥㑢搳ㄸ愷㡥㌹㉢摢慤晦ㄹ挱ㄶ捥㝡㠱慤ㄹ捡㙥搳晦㉦〲戰慢晥搷捥戲㉦㝥挶挷愳㠲ㄸ愷㡣愱散ㅡ戶攱㡥挰扢㡤〰㡥ㅣ㡥つ㈹㌲散ㅤ㤶㤶昰〱㙢㔸㉤ㄲㅣ扥慦㕣攷昵㠸㘶㕦摡戶㠳㍤〵㈰攳㐳昹敦㐳〴昵散摦㉥户㌸ㅡ㔳攱㤳挸㡥㕣戲㉢㕥摤慦㕢挱搸ㄲ〲扦㘳晣晥捣㠲捤㌳愵㝤慦㔳愸㍤㠴㥤ㄸ晡ㄴ晡㕣扥〲㠱㝤㔹〵敦㔴㍣㤲搱㠵扤㐵㌳昸㉤搲㐸㈲挴㐴敤攰摦㘳㍤搷㌰㙢昸㝣昵ち晣㥤〱㐱晢㐲搹㠵㕥攷捥㕢ㅡ摣㍡摣搳㝡ㄶ㍥㈱㔵㥢㐰㠰㑣㤶昰㠹㍦攴扥㜶敥㐱㝢摢㘸㙤㍥㕢昶攷㜷㉢攵扦〳㥣敥敤㉤敤㈴挳㜷昲慢攴㤲㜱㥤㌹㝣㈲㜰搶愵㌹慦㍢㥣戴ㅣ㙤ㄴ㜴ㅥ㝤搴㑤㘷搸㜸つ㉥戴㍤㐴挰㑤㜴搵愶㤸攱㘷慣㐶〵㍥㘸昴昴㤱ㄵ戵㙦㘲㔹㘴〰㤴㌳㠵㉡戲摥㔴晤昵㥤愸㕡愳愷㐷挶〷改㘷㘸户昱㌷挲〳㈹戹搸㔸㐳㔶捥㙡㍣㠰㤰㔶㑢摡㔷㌱ち昷㌲摣ㄳ㥢㌰ㅣ㐸攴愰㠱戲㜱〳㔹㥣㌴ㅥ㌴㘴㤶㕦㐱㠷收㉣㙢㠰昶㥥攵㤷㜷㥣㈵㑤〴㤹㘵㜲晣㤱㔸挵ㄸ㜵㔴ㅢㅢ捣㕥㘲收㈱ㅢ㠹㌵捤㌰㠵㈷搷㔲〸㠳㄰㍦㈲晥㤰晥㈹晡晢收昹㥦扣挱昴㥦攷㌵ㄱ㤷愸㙡㕦〵挵愵慣攲戳挹㔵㌴〰敤扤㡡捦散戴㡡ㄱ㑡㔲搹搵㕢㈸㘰㔷慦攳㡦慣㙡㉢㉡〸㙥捤ㄸ摡戶㔶愲㕦晡扥㡣㐲㌹㍢㐲㜴搱㙦㘳扣挲散㌶戳㑦㌳晢㈳㘶㜷㤸扤㡡慣慣攷㠹挱摦改慤㥣㘸㝢挶㕦搳㠲㜴摢㍥㥢㝤〶㥦挱㙥敢攸㥦挵晦〵㈰㉦㥡㌴愷㝦戴扦戱㘲㙢㤶㡡㌰㝦〷摢昳㌶挶攱㌶戵摣㤶ㅣ昱〴㝥㐵挴㌱㐸㡦戲愳㝦ㅣㄵ昸㌰ㄲ㙦㘴㥥㜴㤲昲㤵㤴ㄸ㤹扣㔱捡㡤㉤㠴㕥敤㐲㘸㕡ㄴ㥤挸㥤扤㉦〴㙣ㄴ㠸攸愹ㄷぢ㝤㕥㤵搰㍥ㅤ搳敤挵㡢昱㈷㘸㝡ㄴ扣〳摦㠴㘶㍤昹㡣ㅢ愹摤㡥ㅢ晦搵敢㉤摦㌳㉡㤰挰㕣㘱㘳昲愳㌴㝥㈵㙥㝣ㅡ㥦户㐹㥢っ㈹㡢改捤戸㌱昹㔶ㅡ扦ㅣ㌷晥攵改攳捤挶㌱㥢㠶㈳攷挹㐳㈹〷〶㌹㐲㈵㍥㜵ㅦ㐶昳扣㐵㈳㘴搰ち挱愴㐸㠹挱搷挴っㄹ挲慤ㅡてㅦ㥢㉦攰㤲ㄸ敥搲㐰㔳㠵晦捦㠹㜹㕣ㅥ㥢㌵〳ㄳ摦㤲㙦㈲㙡敦ㄹ昲挴捥〵敢㡡〷挰㠰㌵敦攳㘰㕡摤㔷㈴〲㥢㉡ㄷ敥敦㉥搱㡤ㄴ晢扢戵ㅦ㜱戴㔱攷㘵㥣晥㌴戰㐴愸㜲摡㔶㡣搹捣慢㉤㥡㌱晥ㄴ挸㠱ㄶ㐱捥㠲昱ㄹ攴㘱㐴㡢搷扥㌳㈳ㄴ㡦㈲晢㍥㡢〲攴㈶㐵㈰搱㕦昸ㅣ戲攱昸㝦昴㌱戶㈹扥㈶㕤昳攲㜷㈴愹挷昸㍣㍢㝣〱㔹ㄶ慥㙦㉤愲扤㤲昱㐵㐰ㄲ敦搲㈸㑥㈹㌲㌵〷愳摣挱㑦ㄴ㥤㐶〱㉢攰㕡〴愶昹㕤搲㈸㜲〵㝣㌳〲ㅦㄵ㌰㠵戰㠰㙦㐴攰㘳〲愶㔸ㄶ戰ㅤ㠱ㅦㄳ昰慢㌱㜸㍤〲㍦㑥昰〸㐵㤸慣晡㌵ㄴ捡搹㍣㌷㘹捦搸攲㕥昶㘹㜶㝣つ㕤㌵愲㐰〴改搷愳〲ㅦ㌴敥扦㉣愰ㅡ捤昴㍣〰挶㌷㔹挵敤攵っ㡤㍦攳ㄳ㜷㔵扡㝦㉢㉡㐸㜷㉥㐴扡㕦㑦㜶晦づ㥢挸㑢㔱㘸㔳扤㈳㝣戹㙣挱昷㔰㈸㘷㠷昹愶ㄷ昰搳户戴捡昵敡昵敢扦ㅡ捥㡤㥤挸晤挱敦て扤昶收㍦晥散㑢㍦晤攴戹㕦晣晡ㅢ摦昸改㝦㝣改㡤㕦晦㜸昵摣摦㝦昷扢㝦昷戱㙦扤昱戳挳搶户昵搷㝦戵昰敤摢㤳㌷㙦扦㘴㕤㝤攲挲敤ㄷ㙦㍣㌷戹㜸捦㜸㌶㍢㌰昰攸攸㍦摣昷搸挸慢㉦晤㔰晢摢㝦㍤收㙡㌲㜹扣愰㝤ㅡ㕣㠴㑣攳晢㈸㘰ㅡ㥣昱扢㍡つ㉥㔷㌶敡攳搱㐶㑤〳㔰㠴㘳㠵ㄳ㤰㡡ㄷ摢㉢〶晦〷㌱攵捤㈳</t>
  </si>
  <si>
    <t>㜸〱敤㕣㕢㙣ㅣ搷㜹摥㤹扤㜰㘷挹ㄵ㘹㔱㤶㉣挵戱㤹㌸㡥㉦㔴㘹㔱戶攲㈸慤慡昲㘲㑡㡡㈹㠹㌶㈹戹㑥搳㔲挳摤㌳攴㐸㍢戳昴捣㉣㐵摡㑡㘴ㄴ㝤㘸㠳ㄴ㐹㔳ㄴ愸㜳㘹㙥㐸㠱扣㈴挸㡢㤳㈰㜹〹㔰愰㐵攱〰㜹㐸ㅥち昴挱つ㡡收㈱㐵愱㈲〸㤰㠷〰敥昷晤㌳戳㍢扢换ㅤ搲㙢扢愵ぢㅥ㜹て捦晣攷㌲攷㥣晦㝡晥晦㡣㌳㕡㈶㤳㜹〳㠹㝦㤹㜲㉣摣扢戸攵〷捡㤹㤸愹搷㙡慡ㄲ搸㜵搷㥦㤸昲㍣㜳㙢摥昶㠳㉣ㅡㄴ㤶㙤搴晢昹㘵摦㝥㔱ㄵ㤷㌷㤴攷愳㔱㍥㤳㈹ㄶつㅤ昵ㅣ㠴扦㤱昸挱㘰慦愱ㅣ戲愵㤹改换㉢搷㌱敡㘲㔰昷搴昱戱慢㘱摦㌳㤳㤳ㄳ㤳ㄳ㑦㥣㥡㍣㌹㜱攲昸搸㑣愳ㄶ㌴㍣㜵挶㔵㡤挰㌳㙢挷挷ㄶㅡ㉢㌵扢昲戴摡㕡慡摦㔰敥ㄹ戵㜲攲昱ㄵ昳㠹て㑦㍥㜱敡㤴㜵晡昴㠷㠷昰敡捣愵㤹改〵㑦㔹晥摢㌴㘶㥥㔳㝥㘲㔶㔵㙣慥㑤㈹捦㜶㔷㈷㘶愶昱㕦㘲晥㜸㝡㜲㘲㜱㑤愹㠰慦㔶㥥㜲㉢捡㌷搰㜱搰㤹昲晤㠶戳捥捤㌳㥣㌹㉣戵㘲晡㐱摥㤹㔱戵㥡攱挴愳ㄶ㥤换搸扢㥡戹㌵攴㉣㉡搷户〳㝢挳づ戶ち捥ㄲ〶慡㤶㥤㉢扥㝡搶㜴㔷搵㈵搳㔱㜹攷㕣挳慥收挲㤴挹㍥ㄴて㤱㥣㤸㉣㝦㘲捡㜷㘶搶㑣㑦㘶攴㜳㘳㔲摡捥㜹㤵昶戶て昴ㅥ㤷㔳㤷㌷㜰捣〷㝢户㐳捤㔵搳㙢戶ㅣ敦摤㌲㕡㝣晢っㅥ敢摤㍥戱㐷敤㝤ㅥ改摤㐷戶戲扤戵㌶ㄸ搱户散㈸ㄶ㘳ㄴ㤸つ㌰㉢㌲㈳〲㡤ㄲ戳㐱㘶㐳挸戴摣慦挰㈵挹㡥慣搲㤷㑤㝤㜹㐵㕦慥攸换㔵㝤㔹改换㤶扥扣慡㉦慦改换戶扥㝣㕤㕦扥㠱㌶㜱㉡づっ攸㔱㝡攳㐳戶昵昸慤戳昳㝦晥敢㤷㌲晦㝤晡㤳㡦つㅤ㐰愳㘷愲㐹捤㝡收㑤㤰㕡㡢㡡挱ㄱ晣户㌳㔷㠰㈹慣㔳搶㤳搶攴㘴昵搴〹昳㜱㌳捦㘵愵㈰扦㡤㔰㐶搰㜶挸㝡捥㜶慢昵㥢㠲扢㝢愷㑤㕦戵㌶㙥㍣慡㥢慥㌷摣慡晦㥥敤㉢ㄷ〳㌳㔰挷㍡敢㕡㠳㜴㜵㕢〴㕢㈹㕦摥㜷㕦㘷户慢㘶慤愱愶㌶敤戰晡扤ㅤ搵捥㠲㔷㕦改㕤㍢攷愹ㄷ㥡戵㕤㌳㥡㠲㔰摢㤰戱扢㔶ㄹ㔶㠵昳ㅡ㥢㔹慢晢捡㤵改㡤㍢ぢ㜶攵㠶昲ㄶㄵ㐵愲慡捡㔲敦㘶㔵挴昵攳㤷㕤㉣ㄴ摣㕡㝤㝦ㄲ㙡㍤戵ㄹ㠰㤹㔵ㄵ昳㕤㔷㕥戰戵㘴慥搴搴攱戶㈶攱㍢㔱㜱戴つ㍣㔷慦㌴晣㤹扡ㅢ㜸昵㕡㝢捤㔴㜵挳㠴愴愹㕥慣㔷㔵㉥㤷ㄱ愱〰㠱㥢捤㙡㕡收搱摥扣㈰㠸㐸愰㤸㡣㝣㑦㍢搹㑤㍣㡢搵㘱ㄵ㌵㐵㥡搴㍦戰挳㘰㥣慦挸㤸ㄴづ㑣慣㠹晡㠳㉦㝤㜸㠷㘱㥢㤸㝢㘷ㅢ敢晡㘸戴晡愷㌶㤴ㅢ㥣㌷摤㙡㑤㜹愹摡㑦攳㡣㡣㘱㘴昹㍢㄰〸㍤㜷㡦慡㑥摢搴戶昲㌷敤㙡戰㔶㔸㔳昶敡㕡〰ㄸ㌴㘴戱挸慤敤㑡挶㕤〰ㄹ〷㤹㡤㈲㉢㤵㌲㠵㐳㙣㔴㈸㈱㘵昲㤴㑥㈹扣摣㈶挸搹慦㡤㤷㠷慣㌹扢ㄶ愸㔰㈸て㕢挰㐸愸搵〴㝤㘵㤲愸㘷㔶㐲㠵㜱挸㥡〱㤵㥡戶ㅢ㙣戵昸戶㡢㑢㐲㈲摡㤷〵㝢㑥ㄶ㔰ㄴ戴换㠳ㄴ㕥〳搱㜴㐸㠳昴挶〹㈲㈲ㅢ愴㘸㜶㡣摣㑥㘴㙣㥦㈲㈳搰㍥㐹㠴㙣㝤愲户㡣㈰戱㜷ㄳ㈹㍢昵攴挷㝤㘹戶㥤㉤ㅦ㑡戳扢戱㜱挶㘱㘶㐷㤸摤挳散㈸㌲敤㍦㈰攱㈸攵㔰㙥㑦挶㝢昰㙣摣换散扤挸㈰㥦っ捡㥣㐸㔴搱㠶摡㡤ㅤ挹㜶㘵搸挹㘲ㄴ㠷愲㠸㤶㜱搳捥㉣㍢㠲攸挸敡摣ㅢ扡㌶㈷㍡昶㠳扤㘹㌳戹ㅣ㔲㘴㑡搳攴㕡㜷㘸㥡摣〸㌶敤㔳㙦摤㡦慥挶ㄸ戳昷㈱㉢ㄹ敦㘷づ攵㐲㠳㜷㜷ㄶ㍤㑤捡㜷㠵㔹ㄴㅡ㐳㝤㉡昸㠸㤰㜹〴㐸ㄱ㜲㕤挷㤷㝤ㅢ㥡收攰戸昵慥户愱㡦昷收敦〸改ㅤ㝡㜳㕦敦搰㕦昴㈶慤攸〷挰㕥摡扦昶搴㌱て愲摡昸㈰戳㠷㤰㜵攸ㄸ㥥扥摦慣愷㐰捣㘲㈷㠱戹㠳昴扡㠸㤵扢戴戵慥㐴〳つ㔹㑢愶户慡〲㜸㌰㉥捣挲ㄶ慥㝢㥥慡攱㔰㕢ㄵ〰捦㉦㐷摡㠱晥㥣㔷㜷〸摦户㤱晤㜷㠵㘲挸攵昴㙣愶挳㐶㑥戱㌵ㄳ㍥愷〴攵㔰〷㍦摥㕢㐸㈴㍡戵㤳ㄷ晢愵㥦㉦昷㈵㐹ㅦ㤲攴ㄱ㙣慢昱㈸㌲㐸〹敤㘷㍤㈵捡㜱㌶晢ㅤ㘹搶㙥戱搲挳㤷㜲㍡改昰㈱㜶挹㤱挱搰㘱㍢つ晦㠱㕦㜶ㄶ㙤愷㈹㉣〶㥤〵攵㔵攰㕢戰㙢慡ㄴ扡㘵㈹㙡昶㘵挵扢㐴㔶㘴戳㕤攷改ㄴ晦㥡搰㐹㠷㤴㐸攵昶搴捡㤴戳㜸㡢愸攸㠶愴㔰㐹㜱つ㌵㈵㄰㈹㡦㙤昷㐵㑣ㅦ㈲收㌱㙣㥣㜱㠲搹㈴戳㤳挸昲㍦㠶愴搹敤挶㌳ㅣ㌶戰㐱㤷昶昲㜲愶㐸㌴㠸㡢昰戵㥥挲敡ㄴ㕦昳㈱㘶㑦㈲敢㌰㝦攸㠰㑣㈱㐴㐱㜹㠲㄰㈵㡣㘱㕤戵搵㑤搲挰〱ぢ㠱愵㤹㠶ㅦ搴ㅤ㐶㤶捡搶㙣晤㔲㍤㤸戵晤㜵㐴愲㐶慤愸昰摣㥡㜲㐱㕤ㅥ㙣㥦づ㔸㝤㝤㕤㔵つ㙢戱摥㠰㘸扢㌰扢ㄷづ收搸づ搸㤲㜲㌶搷㌵愴晥捥挷ㄸ㐲挳㑥㡢扦㤵摥搸㕤㜹扦㜹攸ㅢ㙥敤攸㤲ㅤ搴搴愰ㄵ㌲ㅤ换㐵ぢ扢㠸挸㐱㜵挰㕡㕡昳㤴㥡㉤㕢攷㍣扢㕡戳㕤㐵㘴挰挶㘴戰㙥㕥慤㈲㑡戰㔰㘷っ戰敥㤶慤㈵捦㜴晤㜵㤳〱挵慤㠳㙤㑦ㄲㄶ挹㕢搳戶敢攳㌵㠲㐵㤶㠷慤挵戵晡㑤㐴㙣ㅢ㡥㝢捥㕣昷昷〴㔶㐸昴㘱ㄲ搴㘸扡愶敢㕡㔱㉦昶㡢ㅦㅥ挸㌳ㄹ昲㕥㡥㤹攰㉡㤳愷捦㍣㐵㝢搳慥㡦㘲㌴戴搳㌹愷㈱㐴㡦㥡挰㙣慡ㄴ㈶愷ㅡ愷搹攷㈳挸㍥㝡敥捡㠵㔶㘴敥㉤挵慣昳昴昲愷挸㜸㈱㡢㘶㈰㠴㍥扡〳㈱愹㄰㐶捡〱〷〲攳㝣敡㈴扦㤲㈵㙤㐸㝤〷㕡挵㌹㐴㤲㠶慣㜹㜳㐵搵㄰㡦㜶捣攰㐰昸㐰㌳搶㌱㙢㝥㔴㌷㔳㜷ㅣ㤳愴㐵戲㕣慣㤸愴攰愹㐶㔰扦㘸扢㠶㠵㑣攸㉦〲㤹㥢〰㤹㥢〲ㅡ戲㥥㘵㘸㔰捡ㅣ慢扥㙡㝡㜶戰收搸㤵㈲ㅦㄸ扥摢ㄳ㌴〹㈶愷攴㡤㔳㉣㌳挶㍡慣昹㉢㌰搹晣〹愰㝢〲㜲㤴㕢㐷昴㠳㜲㜵慤㠰㝦㕡㥦㡥㈵〸ㄸ昱㤴ㅡ扦㠷搱昲㜲㍢〲㈲㐷搲㥤昸づ挶㥤摢㠰㠴㐲㠸㔸㑦㈱ㄱ㜸〵ㄳ㐲㥥㉥敥㠲㜵挵戵〳㘰㡦ㄸ㥢戳㠳㔹ㅦ㈸㐷㠶愲ㅣ㙦㡦〹㔶ㄳ㥤挶㥢㕡攱晥敥慡㌶㌵㜱㕦㜷㝤㔲㙦㝣㘰㥢敡㔰愳㈴ㄴ挹㑥㡤㐴戳㙣㌳挷扤愴㙡㌴㔱摣戱戶搱搲摣愶慤㝤愷ㄴ㜹ぢ㡡㐹㘸㈶㘳晣扥㄰ち〲扤㤱㡥愲捦㍥㥤㍣ㄲㄱㅢ摡〰㈵敡愹㄰㔶㡥㐲㠲ㄷ㜰敤愴慡㑡搱ㄳ昸晢㐰㔴扣摣〸摡㙡捣捤搱愸㘶慡㔶扢散挲㑡愸㤸㕥㜵㡦戰㌴搶ㄶ㙡ㄸ攱捥㝥戵㝦戸扤〹㐶㡣搸㤰㘱㤱ㄴ㍦㌰搸㄰捣㤵㠸愸搲㍡㉢㜳慢㥢攰㈲㥦㉥㉡搳ㄵっ㉣〶搵㔹戵㈱㘶㔸换㤲ㅦ㤵づ捤搳愲挸㔱挳㥡㕡昱愱搲〳捡昱愸㈴っ㙥㔸捦搲㉤㠵㑢っ㄰扢㔱㘹愱ㄲ㈰戴摢ㅣ㠰㈷㠳扤㠳ㅤ散㐸ㄸ㍡愱㜵㐶〹㕡㐸㈱摣昶㐵㤰㜷晡挴㈸〴愹㈵改扦捥㙡㥦㝦㠵改㥢㘷㌳㜱㈱㘲㈲㠶扢㔲慣〷㈰㌷ㄹ㤹㈴ㄷ㡤挶〱昳㔰戲㠹搰ㅡ㡡㘱㌴㌱捡㌴昹扣〰户㜸ㄸ换ㅡ㈶摢搴㜰捦㉤戰愱㑤㙢㕢〷慣ぢ㙥愵搶愸㉡㔱挵戱慣ㄶ㡤扣㈷昰㈵㔷〰㐳㙥㑡搹㤷㘸㔳㉥攰㈸挵㈵ㄳ㐹晤摢摤挶㔹㜴ㄷ㈱㠷㌱㐲搵挷〰㘴㡡㕢㑥〲㘲㕤昷ㄴ㘸ㅦㅥ㙣㕤㘰㤰换㜳㄰㘹㕤㈰捡戲㜹摣挷㙢㐶㤱㠵摢ㄲ捤收敢昳㜵摡散〹搰㜹㍢〴敤〹ㅣ㘱㥤愱挰㉢ㄴ㘰㡣昴挹ㅤㅣ㈴㜳㈷㡡敥摥戹㉤㡦㤹㍢㐰㠵㘰㐰㘳㡣㤷愷愰っ㜶ㄵ㡣㐴㠳㕢㙦㔹摤ㅡ愳扦戴扣㡤㈹㘴ㅡ挳挰㌴㘸搱㌲㌴㜰㘶㔰摥搹挰戹ㅦ慤㔲㈲愴挹㘰㉡㘳㤴愳㜰搸〳㘹攰㈶ㅥ愴㤷敡㔰㐲挱㈱戹ㄸㄶ摦㑤ㅣ㜷㜰〴慡㝢㠷㍢㠰ぢ㘶㠰敢㉦敥搱づ昰㔴戵㑡㜳ㄷ晥戹㍤㠱㔵㕣摤〸捤搱㐳ㅤ㤷戲㘴㑤戴敦ㅥ攸愸㠸㉥ぢ㥥㥣㥤㌸㙦〶㤵戵挵㘰㉢扣戸搵㉦㐹攴㝦〸㝦挴戶㙦愷捤㥣㜳㜹ㄱ㜵㠳㝢㕦扡攱搶㙦扡㌲慦扣捦㕢㝦愰㄰㕣愱ㅣ攰㈴㑢㤹㌷昰㑦㤲㥥挹晦〰㈳敥㘶摡ㅣ愰攵㈰攱㌸㑣㕡挹㤸挳ㅦ〶愹挷昰㌷㠵㔶㘰扦㌷㙦づ㤰㔶づ㜵搰㡡〸㠳㝤㘲㜱㔷摦㌶㘲搱扥て搴㤲㘰挲㘳㌹昶晣敦挱晥摡昷〰㈱搲昱ㅣ㠹㤲晣晢㔰㑡㐱㥤〸昳攸㥡〷㉦㠵晣晦挱㔲捣搱摢戲搴晦〲㐳㙢摦敤㐴搱㝤㐴搱慢㕤㈸搲㜸ㄵ㐴㜸昸改愸挰㠷㍣㐳戴㙦㉡ㄸ捥㌵敤ㅦ㐲摦昱㑢扦晦㠷㠷搰㡢挰㌰㤳搸㘹〸户㍤㠸㜲搳㑣搰扢捣〴〶昰挵㑣戸挴㍥㡣攴㠷㘶㐲攴〷㔹〰㘰㘷㌳㠱昱扤ㄴ㘳㌰ㄱ㙥㑤戸㌶㜸ち㍢散搰㐷㜶ㅥ㤷㙦㤵㡦㤸㍥ㄴ㤷㍦〳慦搴㤱㙥昰㠲改㤹捥㔱㠱㥦昳ㄴㄴ㥡户㠴摢摣搲㠵㍤㡥㙤㕢㈳㥤戶昱㔷挴㥥昶㝤㥦捡敥敥戰〳㔳㘱ち㕤昸㕡㔱㉢扣〵㙦㠹挶戳㐳收愵㐳摦㍡昷㙦㉦晥搹㔹摥㔸㡢㘸㌵晦㈸捡晤㠴敤㘹㑦㈰戰㥢戸㉣㜲㌷㍦捥戹㠸捦㤴散昵㥡㥡㌶㍤戱㠴㝣挳㠹㡢㈱攱㈵〸㌳㈴扥扤㘰㘶攲敥㐳㘸㘶㑥㜴戸㍣攵攳㈶㜱ㄳ㑥㈴㈶㉥㝥扤㌸㜴愸昵㔴㘴㝤㕡㥣昹㙦㐳ㄵ扤挹㠹戴㕢㡡㍣㜹㌲㘹摡户㍡㜵摤㈹敡扡昰㌰挳搰㝦㉣愵㄰㠳㈰㠵㈴て㌳扣ㄴ㈰㔲㙡ㄱ㠵㍣㘳㝤㈹搱戵捥㌰㉦㝤〲晢㐲㐰㌵㉦晥昵昹㈱ぢ㜶ㄱ㔸㡣晤昱晤㥥㙡㘹㡢挶慡㠹攱㕡戱㘹㤶㔰㤰〳っ〱㤳㌱昴ちち㜱捡昳㘴扢㙢㤷ㄴ㕦㔲㜶挲攰㕢挸搸㜹㠷晥戶㤲昳㤴摢挰敤て攸㤹㠲㈸っ昷㈰挱㌸㤴㑡㥣㉥㙣㕡ち㐱捣㠷挳㘲戳搳㘰㔴〵㥤攵ㅥ挵挹ㄴ〱㐰㝥㉤挴晡昱搶搰㜷㜷搶㔰挷戹〳㔸㈰㝦戰扦敥㑢㘱㙣扣㤵ㅣ〳〹扢慢㔶挵昰㡡昸㔵㜴ㄱ㉢㕦㌳㕡㐵扥㑢搳ㄸ愷㡥㌹㉢摢慤晦ㄹ挱ㄶ捥㝡㡥慤ㄹ捡㙥搳晦捦〳戰愳晥搷㑥戳㉦㝥挶挷愲㠲ㄸ愷㡣愱散ㄸ戶攱㡥挰扢㡤〰㡥ㅣ㡥つ㈹㌲散ㅤ㤶ㄶ昱〱㙢㔸㉤ㄲㅣ扥慦㕣攷昵㠸㘶㕦摡戶㠳㍤〵㈰攳㐳昹㙦㐰〴昵散摦㉥户㌸ㅡ㔳攱攳挸づ㕤戴㉢㕥摤慦㕢挱搸㈲〲扦㘳晣晥捣㠲捤㌳愵㝤扤㔳愸㍤㠰㥤ㄸ晡ㄳ昴戹㜴ㄹ〲晢㤲ち摥慥㜸㈴愳ぢ扢㡢㘶昰㕢愴㤱㐴㠸㠹摡挱扦换㝡愶㘱搶昰昹敡㘵昸㍢〳㠲昶㠴戲ぢ扤捥㥤户㌴戸㜵戸愷昵㌴㝣㐲慡㌶㠱〰㤹㉣攱㡦晥㤸晢摡戹〷敤㙤愳戵昹㙣搹㥦摦慤㤴晦㉡㜰扡扢户戴㤳っ摦挹慦㤲㑢挶㌵收昰㠹挰㔹㤷收扣敥㜰搲㜲戴㔱搰㜹昴㔱㌷㥤㘱攳㌵戸搰㜶ㄱ〱㌷搱㔵㥢㘲㠶㥦戱ㄲㄵ昸愰搱搳㐷㔶搴扥㠴㘵㤱〱㔰捥ㄴ慡挸㝡㔳昵ㄷ戶愳㙡㡤㥥ㅥㄹㅦ愴㥦愱摤挶摦〸て愴攴㘲㘳ㄵ㔹㌹慢昱〰㐲㕡㉤㘹㝦㡢㔱戸㤷攱㥥搸㠴攱㐰㈲〷つ㤴㡤敢挸攲愴昱愰㈱戳晣ㅢ㜴㘸捥戲〶㘸敦㔹晥昵戶戳愴㠹㈰戳㑣㡥㍦ㄲ慢ㄸ愳㡥㙡㘳㥤搹ぢ捣㍣㘴㈳戱愶ㄹ愶昰攴㕡ち㘱㄰攲晢挴ㅦ搲㑦愲扦慦㥦晤昱㙢㑣晦㜹㔶ㄳ㜱㠹慡昶㔵㔰㕣捡㉡㍥㥤㕣㐵〳搰摥慢昸搴㜶慢ㄸ愱㈴㤵㕤扤㠹〲㜶昵ㅡ晥挸慡㌶愳㠲攰搶㡣愱㙤㙢㈵晡愵敦㡢㈸㤴戳㈳㐴ㄷ晤㌶挶㑢捣㙥㌱晢〴戳㑦㌲扢捤散㘵㘴㘵㍤㑦っ晥㙥㙦攵㐴摢㌳晥㥡ㄶ愴摢昶搹散㔳昸っ㜶㑢㐷晦㉣晥㉦〰㜹搱愴㌹晤㈳晤㡤ㄵ㕢戳㔴㠴昹摢搸㥥户㌰づ户愹攵戶攴㠸挷昰㉢㈲㡥㐱㝡㤴ㅤ晤搳愸挰㠷㤱㜸㈳昳愴㤳㤴慦愴挴挸攴㡤㔲㙥㙣㈱昴㙡ㄷ㐲搳愲攸㐴敥散㍤㈱㘰愳㐰㐴㑦扤㔸攸昳慡㠴昶㠹㤸㙥捦㥦㡦㍦㐱搳愳攰ㅤ昸㈶㌴敢挹㘷摣㐸敤㔶摣昸㍢慦戶㝣捦愸㐰〲㜳㠵㡤挹㡦搲昸愵戸昱㐹㝣摥㈶㙤㌲愴㉣愶搷攳挶攴㕢㘹晣㘲摣昸㤷㈷㡦㌶ㅢ挷㙣ㅡ㡥㥣㈷て愵ㅣㄸ攴〸㤵昸搴㝤ㄸ捤昳ㄶ㡤㤰㐱㉢〴㤳㈲㈵〶㕦ㄳ㌳㘴〸户㙡㍣㝣㙣㍥㡦㑢㘲戸㑢〳㑤ㄵ晥㍦㈷㉥攰昲搸慣ㄹ㤸昸㤶㝣〳㔱㝢捦㤰㈷㜶㉥㔸㤷㍤〰〶慣ぢ㍥づ愶搵㍤㐵㈲戰愹㜲攱晥敥㄰摤㐸戱扦㕢晢ㄱ㐷ㅢ㜵㕥挶改㑦〳㑢㠴㉡愷㙤挶㤸捤扣摣愲ㄹ攳㉦㠰ㅣ㘸ㄱ攴㉣ㄸ㥦㐲ㅥ㐶戴㜸敤㍢㌳㐲昱㈸戲敦搳㈸㐰㙥㔲〴ㄲ晤㠵扦㐴㌶ㅣ晦㡦㍥挶㌶挴搷愴㙢㕥晣㡥㈴昵ㄸ㥦㘱㠷捦㈲换挲昵慤㐵戴㔷㌲晥ち㤰挴扢㌴㡡㔳㡡㑣捤挱㈸户昱ㄳ㐵愷㔱挰ち戸ㄶ㠱㘹㝥㤷㌴㡡㕣〱摦㠸挰㠷〵㑣㈱㉣攰敢ㄱ昸㠸㠰㈹㤶〵㙣㐷攰㠷〵晣㜲っ㕥㡢挰㡦㄰㍣㐲ㄱ㈶慢㝥〵㠵㜲㌶捦㑤摡㌵戶戸㤷㝤㥡ㅤ㥦㐷㔷㡤㈸㄰㐱晡㠵愸挰〷㡤晢㉦ぢ愸㐶㌳㍤ぢ㠰昱㈵㔶㜱㝢㌹㐳攳敦昸挴㕤㤵敥㕦㡥ち搲㥤ぢ㤱敥搷㤲摤扦捡㈶昲㔲ㄴ摡㔴敦〸㕦㉥㕢昰㜵ㄴ捡搹㘱扥改㌹晣昴㑤慤㜲慤㝡敤摡㙦㠶㜳㘳挷㜲㝦昸〷㐳慦扣晥捦㍦晦摣㑦㍦㝥收ㄷ扦晤攲ㄷ㝦晡敦㥦㝢敤户㍦㕣㌹昳㡦㕦晢摡㍦㝣昴换慦晤晣愰昵ㄵ晤搵摦捣㝦攵搶攴㡤㕢㉦㔸㔷ㅥ㍤㜷敢昹敢捦㑣㉥摣㌵㥥捤づっ㍣㌴晡㑦昷㍣㍣昲昲ぢ摦搳㝥昴㉦㐷㕣㑤㈶㡦ㄷ戴㑦㠳㡢㤰㘹㝣〳〵㑣㠳㌳㝥㐷愷挱攵捡㐶㝤㉣摡愸㘹〰㡡㜰慣㜰〲㔲昱㝣㝢挵攰晦〰攰搰捥户</t>
  </si>
  <si>
    <t>㜸〱敤㕣㜹㤴㕢搵㜹搷搵㐸㙦㜴㌵㥢㙣戳ㅢ挸〰㌶㥢捤㜸㌴㥢㌴㈵ㄳ㍣㡢㤷㈱戶挷㜸㙣㕣㐲㕤昹㐹㝡捦㈳㕢㡢搱搳搸㌳㐰〳愵㐹换㔲愰㌸㔰㐲ち挱戸㠱〴㐲㈰㘹㐲㤳ㄲ挲〱㤲㤰ㅣ㡥搳㤳搳愶㈷㘹㑦ㄶ㤶㌴换㘹㥢㍡㑤㑦换㘹〱昷昷扢敦㍤改㘹㤹戱㌳㌱愷晥㈳㙦慣㑦昷㝥昷扢摢㜷扦晢㝤摦晤敥㤳㝤挲攷昳ㅤ挵挳㙦㍥〱㈶捥㥥㥣戵㑡㐶慥㙢戴㤰捤ㅡ愹㔲愶㤰户扡㠶㡢㐵㝤㜶㐳挶㉡㌵㠱㐰㑢㘴㔰㙥〵ㄳ㔶收㝡㈳㤴搸㘷ㄴ㉤㄰〵㝤扥㔰㐸晡搹㡡昳㠹戸ㄹ挹㕡㤲㘸〹㉡㥦搴〰㕡㥢〱戶㡥㡥㑣㈴㜷愳㤳挹㔲愱㘸慣散扣摡㙥㙡㈸ㅡ敤㡡㜶昵昵㐷㝢扡扡㔷㜶㡥㑥㘷㑢搳㐵㘳㈸㙦㑣㤷㡡㝡㜶㘵攷收改㘴㌶㤳㝡扦㌱扢戵戰挷挸てㄹ挹敥摥愴摥ㄷ㡦昶昵昷㥢㠳㠳昱搶㄰㕡摥㌴㍡戲戹㘸㤸搶㠹㙡㔳戲捤㠹搱㤱慥㑤㐶改㐴戵ㄹ㐶㥢㘸㜲慣㤰搳㌳昹ㄳ搴㘸㤰慣敥ㅤ㌳㔲ㄹ慥㠹㘱ㄴ㌳昹㕤㕤ㄸ㜶ㄵ愳㤱㡢㜵慤〵挷㔳扡㔵ㅡ㌵戲搹㉤㠶挹攵㘸捤㤱㘷㐶搱挸愷っ慢㍤户㘶㈶㘵㘴㥤㘲㉢㤴扢㕡㉦㙥搲㜳㐶㠰㠹㡥㥣扤㙥攳㘹㈳㕦捡㤴㘶摢㜲摢㉣㘳㡢㥥摦㘵㤰㈴㤸㕢㌷㥤㐹〷〲㈲㄰昰㌵㕤搴㘸㌰㙡㙤扡搶ㄶ㔳愳㔳㝡戱愴㜲㕣戵㘸㈳㕡㡦㠴愸㠱㔷つ㡢挳敥慣愹挵㘵㥡捣攴摥㙦ㄴ昳㐶㤶㥤㜰昱㔶搴㄰㈹㥥搸慣㉦㌳挷㥤つㄷ㐶戴㌸摢㠰㔳㘱㉦戲㠵愰ㄵ㐰㙢〳㘸搹戶㘹㝣敤挴㤶㡤㥤㔷㑦㡣换㜶ㄶ㜵〰㠸挰ㄱ㙣㈷㙦㔵搶昲㈷㜴㝦㈲改㑦愴晣㠹戴㍦㘱昸ㄳ愶㍦戱换㥦㤸昲㈷㌲晥挴㙥㝦㘲て㘸摣㈷搴摣散㜷㥥搵㜷㝥晢㡤晦戹㜷搵摡㥢㥦㝡昲ㄷ昷㌶㉦㍦ㄴ攴づ敡㙦㌴㡦㕡ㄶつ㕢搶㜴㙥㉦户慥戳㝣㘴慥捣㡤㔹愵捤㝡㌱㘷㥤搸㜵挶㉡ㅦ㙢愱㠷慤摣扢扦搰攸攴㠴㉣戴戶〸捣敡摤㕡捣㐰㥣愷戳㝡㜱攵挶㑣㝥㈸搶摦㡤㘷攵㠶捣ㅥ㈳㥢㌱慣搲㔰㤴㜹㘰㌶敡㌳㐳㔱㔵搸㉤ㄷ㤳换㑢〰戴㔳〰㥡㠶㐶㘲昲㔴愲㑥〳㄰攲攷㤰っ㑡挷昲ㅤ晦戹㜴晢戲晢㐷敥昷扦晤摥㠱㡢捦㝢㐸㔰㈷㜲㘹戵㌳〰㉥慢改昸戲ㅥ扢㥦㑡捦㑥㥦ち㉤捦㐴ㄵ㜹ㄶ㉢㉦〵㐰㤷㜱㜹㌶㔱攷〰〸昱扡搳㘵昰挰〷慦昹捡晦㝥㜹昴挳户㠴攲户㠸㡢㐳㠲ㅡ㔸㈹攵昷㤰戸ㄳ㐰㍢㡦愸戱攸㠰㍣㥦愸ぢ〰㠴昸扥㔳晦散㤷㝦㝡昰㑦㍥㘱㙥㝣昲晡㕦摥㝥昹㑢㍦㔹搲扡ㅣ挵㔷㌹ㅢ㘴慣愸敦㠷㤶愹㈸㌰㘸㙤晥ㅤ㕢㜳㐳㜱㥢晤㘶捣㡣㐶搳晤摤㝡慦ㅥ攴㘶㌹㕥㝤㐱ㄶ户㥡摢㌳昹㜴㘱扦㔲㈰慤收摡㑣戶㘴ㄴ㔵愶挳挴㤷慤〴㔵扥捤㕣㌳〳敢㤱戲㜵捤㈹收愸㔱㉣㐱敢㤶㘶㉢㜲㜹昶㠸㙥ㄹ㤵散ち愷敤㤱挲㜴㍥㙤㉤㙤㕣㌸㔹搲㑢挶㔹戵㘵㤵㐶敡慡㑤㐲㈳ㅢ㤶ㅡ搲戹戵搵慥搶戳搳挶昰㑣挶㉥㍥愷愶ㄸ扡戹㤰㥣扢㜴㙤搱戸慥㕣㕡㌷愲㘱搸昱㝤慡敤扡㔹摡㐵昶戸㍡㐷愷ち㤶㤱㔷挳㕢㤱摢㥣㐹敤㌱㡡㤳〶扤〰㈳慤愶㝡㉡㡢ㅣ〳戱㘲㈲㡦㠹㐲攵愷捦昷㘲挹㘸㈳㥦㌶搲ㄸ敦㕥㜰㜹㜶慢㥥捣ㅡ愷㔵㤱搸㝤愲攰捣㉡昴摡㐲㙡摡ㅡ㉤攴㑢挵㐲戶扡㘴㌸扤㑦㠷㔱㑡㙦㉣愴㡤㠰㝡㝣㌶ㄴ扥愶㈶㈱㝣ㄷ㌷搲㡡㙣摢愲晥昷〸〹ㄵ攱晣挴ㅥ㈱㈲㜱㐳扢㔱㙥ㄹ〹㡦㤰㤱晥㤲㜹㐷攲ㄵ㐲㔲㜷捦㑢摤㐰㐸㔹改㡣敡㡤搷戵〵敢㠳㜵挸ㅡ摣㤵晥㘵㜳㌷㔹㤱换㘳㡣搴戳㉡㜴晡㐸㍤て搳㔴戳㘵搹㝢㜷㠹晤晥㈵捥散搷散㠳敢戱㕥捦愷戳㐶㜱㕥㤷㔵㜰㐴昲㐲㠲㡢〸㉥㈶戸㠴攰㔲㠰攰㍦㐰挷捤挹㔱慡㘵㌱㈳㘶㠳晢㌳改搲㤴㌶㘵㘴㜶㑤㤵㠰㠳慢ㅢち㤱摤㜵㡦㕣〹㤴扣㡣愰ぢ㈰ㅣ昶㘹慢㐸愴㠵㘵㌷扦愲〰ㅤ慥敦搵㘹㑢㘶搸ㄷ愴㕦昱敢㝢㍦㜴戰愵㜲戶攰つ㕢挱ㅣ摡戵㥡㥡ㅡ㜱㘳扤㙥㑤㤵戸ㄱ攷㉤㔴㝥㑥てㅢ敤〵㘸敤〳搸戴摥挸㘲ㅢ㥦㈸㐷㍡㐸㔷改㤸づㅢつ改㘹戹挹搹㝣㙡慡㔸挸攳㤴㌱愶㤷昴攱ㄴ扣㔲㑢攸㕡㙥㐳㘱㜴扡愴攵搶㘷昰搵㥡摢㘲散㌵昴搲㈸搴㜴愹㉤户〱ㅥ慤搲愳攳改㤹㘰捥㜶㐶挷っ㉢㈵改戵㡥㐳㉤捤㘸㐸㐱捦戶收愸㘸㡣㤹ㄲ㥢㙥捥挱㉦㠲㌸㐹㄰慤㔰戵散ㄴ㙢戶㈹㥣㕢㍢散攴搰㐲㐴㈵㍤慤戴㈸㠴摤㤲㌲攸戰愰戰愹〱〷搶敥愰㙤愵㑣搶敡㜲搸摢㌵㔶挰愹挶㔰攷㉣戲㕤搳㈰㘰摡扣㡢㔵扢搱改昶㑥愴㤲㜶戳ㄸ捡扡㘲㘱㝡㉦㍤愲ㄳ搵づ摢昲挹㝥㠰㠷㝦昹挴攵换ㅦ㝡晡愸昳㝤ㄳ戶㤰㝡㈴㍤㘳㐹㜹㘷ㄶ㕦敡㤱㜱㝣㠵攷㉢ぢ搲㜷㙥愸㘹攷昰搰改㌲戵收㌰摢慤㐵㐳ㅤ㌹㐲㉡㌳扢搷㘸换㙤㉦ㄴ昷㈴ぢ㠵㍤㕣晣㜶㤵戳愶っ愳㐴㍦扥挵㌹戶㌰㉤㠴㘸㙡慡昲搴㍤づ㍦㑦〰摡㝢〱摡㠶戳搹㑥户㐵㑢ㅢ〲慡〹ㄶ㐵㝢ㅦㄲㄷ扡㥡戶㜳愳扥〷ㅥ㔰㈷ㅣ〵愳〸㤸㜲㥤㡢慥㤹慣㤵ㄳ㉦㠲ㄷ㜴晣敥晥㕥攲改挳㤷晣㘰搳挱㤲搱㜵攷愱ぢ㥦ㄴ㉦㌸〵㜵㡥㍥攵㝦ㅥ㍦愸捡㥤㡥㠰戶捡て慡戳昰戶㤲昹慤ㅦ㜳搲昹㌱搵㍥捣愵慥㌸㜹㑦敤戶愷愱㉣㙣㡤ㄷ㌳愷捤晡慤ㄷ搰㈸㜰㘵㝢〱挳搸㉣攲㜹㙣㍢㕡㝤愴慢ㅦ㌹㡡扣ㅣ㈳㔸〳〰摢慤㜴ㄹ㑣昷㍡㍢㉢㜸戸愳愹㤶敢〹挶〱㠲㍣攱捤㙦搰戰㕤愹摦〲㍣㝦户攵挶っ㔳㐷㐴㑢ㄹ㈱愱晦㝦摡愸〰攲㝤ㅥ〳㌵晦㈴㌰㜶敡㝦慤搶扦慤づ戶㈰〴㤴㕥㘷攴户㐲ㄱ㕢㈷搲昴㥣㐸ㄳ㈶慦挴㍣摣㈷昸っ〴攱昸攷〴㜶昹㥡昷搱㝦㐸㈴㝣㈱捥㤰ㄸ挹戳㘸扤搹摢〴㙣㜸扥㌲挱挰〰㐵㐳搲搴㘸㤳〰㑤㡣㘲搰戸㠸㑦㍢挶愱捥㙡㍣攱ㄴ搴挵ㄱㄸぢ㔰㈱㠸敤慣晦㈹㤰㌵㤶昲㙢㔰㉣㍦㐰㜰㉤㠰㐷捡㜷搸㔹挱㜸㠲㤲昲摦㈷㔱〲㐰㌰愸愰㘲ㄹ㍢㤱㜰ㅦ昱㌰晡㈰〳ㄵㄳㄸ㠰愸㘷㐲ㅡ搸戰㥣愷㑣㌰㔴㔱㘶㠲㈴ㄳ㙣〶摣㠷㠶ㅢ㥡捤㝢㥤㠲扡愸〶㠳ㄹ㉡㑡㤷㘳㈳㜹㠲〲挱㕥㠲敢〰挴㕤愸㑡愶摣〹㑦昷扦㌰敡攷攰㐱㝦㔷㡤摥㈲つ㕤㝢㌹つ攰㘱捡㝥㘴戵ㄹ㠰㍡慦㕤㠸㑥愰ㄵ愳㘶㤱㤰搷〳〸㐶㑦攸攳晡攴つ〰㜳㌹㑡摡㡤㈸㙣㕡ㄳㅤ慣㘷搸〷㔱ㄲ㤶㉣㥦愳㑣㌰㌶㔳㘱ㄸ㕤ㄲ㥢㘱㌷捣挵戰敢㥤㠲摡㌰㑥㤰㠷愲㕡户㔴〵㐶换〷㕣㡦搱攱慣㌴㜳㕢㍥㔳戲㕡捣攱改㔲㘱㙤愶〴慤搰㙡〲㈰愹慡㥣㔵㙢愹㔶㤸㔷㘷㡣晤搴〷敦愹㉦㐲捣㜸㜴摡㉡ㄵ㤴挷㝤㙥㝤昹㔸㘱㔳愱㌴㤶戱昶㘶昵搹㘵つ㡡敤㤲敤㔳㐶ㅥ挱㠹㈲㘲ㄴ挷㈲㉡散摤㙢愴ㅢ㡣㜱戲㌰㕤㑣ㄹ攳㘳㈷㐳㜸㐳搸㐷〷ㅦ扣㔳㘸㘷戱㝣㙥慦挰挳㜷ㅥ㜱晤昰㘸挵〲㑦挷慢㔰摦㈷㙦㈵㐴㥦㄰㝦㜹ㅢ㤲搸〵㐱ㅥ㤹攷ㄷㄱ㑦挰㠴㥢㉦㙣㘲㔹㙤㕣㥢ㄳ㤱ㅢ捦㕢㤹戴ㄱ㜶㜲〸愷戶㍢挹㠹改㔲㔵㠹㍥戳挴㈹㠱摢㍤㤱挷搲愷昴㘲晡㘴㔸ㄵ㑣っ㡦扤㈴㐲挳摦挲ㄸ㙤㌷攳昳ㅤ㜱慦摣㡥摣㠴捤㝥㍢搰攴㌵㈳ㄳつ㑦㐱攵敤㠸㠴㈷摥㐴㈵搰㐶㜶㤷搱㈱收㌶ㅡ㝡㕥慤挲㘴㈹㍤㘶散㙢㔷ㄴ〶〴ㅣ㔷㌵㔹㘳㐹㜵㔶昹㈱搲ㅣ㑥㕡㠵散㜴挹㘸㉦愷搴㐶㤷收ㄶ㈳慢㌳㜶搸㕡㑥㙤㑥㤵㄰㕤㉤户挷戸攰挹戳㐲攰㐸挰㔹㈵愱搶㐹㥢㐷㜸慢㈷挱㍤戴挰㔵㠵〵㌱搵昳㡢㉢挴挷ㅥ攰昳昸ㄵ㍥㌷ㄱ收攳ぢ㕥㠲收㙢ㅤ㡤㙡㕤敢つづ㜲㈷㉤㜱㘳搶戶㠶㔳捡慢搵挵㌱㉥搷㘶㉡扤㠷愳㈷慦㜹㍡戸㜵戲戸㐲㉤㘵㔲㝡㌶㍢摢㙥㡥攷㔳搹改戴戱㐱㑦ㅡ㔹㔷㘷ㄷ㡡戹㤳㘴扤搴㘵戳扤㔶昳昰挵㘱捡㌸㙥㥣摤㔰攴㠲搵㥣㑦摥〱戶㉡戳㡡㌶挲昲㑥攴戸㌴㡣〳晥摡㤱㔸㠶〸ㄶ㔷敥ㄱ搴攵㈷㔴㕢ㅤ㡡㍡㡤㔱愹㜲㌰㔷敤㌸て搹㠶挲㠶〲〲敤㘹て㙡㝤挶㐶㥤㌴晢㑡㉤㤳愶㘹ぢ㌵㌰攰ㄵ㥥㈳捥㤱ぢ㑡捦捥㕦㐱晥㜳〵㔶㈲㕦ㅢ捦昲㙣づ㘵晢㤵ㄲ㘴戴愳㠳ㅡ捣㜶ㅣ戶㘶㑡㔹愳挵㔴攵㉡ㅤ攲㤶㈰㌷㥢捤慤㔳㠸つ㡤戵㤹敢㡡㤹㜴㌶㤳㌷攸㠴攰攲㠷ㄷ捥ㅢ㡣㕤戸愲搸㕣戰㌲扣㈳㙤㌳户ㄶ昵扣戵㤷㈱挰搴散攲慡㥣㕡慣愰㌹㤲挹㘳〳搹㝤㌲摤㘱㑥㑥ㄵ昶攳つ㠹改㕣㝥㥤扥搷㍡㈹ㄶ㡡㝥慣晤搸扢捡㉦晣㝥ㄱ昲㠷ㄶ㙡慢㈰攱㘸㤲攱㘰㍦㠱戳㔴っ㙤捦戳㕦戹㑡捥〵ㄱ昷㉢挷㔴㜵摤摣㌰㍡㕤㝥扤㠴㍡㔸摥挵㍡㜷〳㕣戹㙥摢㜸攵㕡昱㌷㝡㈹㈴搸㠵昶收㌱〵㑡㉣捡㜷ㄸ㍣改戴摢愲㐲ㅣ㈵㐷慡ㄵ㘷慥㔶晣挲愶愲愱㈴挲㝡㤲㥣挹戵㠸㉥户㘲攳㐳昵㈲㉡て㥤摢㙥㘷攸捥攵昴慣攵㤴㡤ㄶ㜲㌹㥤愲㐵戱㥣㠴摥㌶㐲捡户㠶㈶㤱㈶㠰㤲㍦〷愵捦〰愵捦㈸ㄴ捣㌱敦㈵㔵㥡㙤ㄵ㜶改挵㑣㘹㉡㤷㐹㠵㤸攱摤攱㐹㈱㤳㄰㈱摥愱戸㡦ㄲ㑣㌸慡戵戱〶㍢㘸㡤攵敥挲㠱㠳慣攳昲㐳㜲晤捡㠶㡢〵㕥晡㐰㝣㤵戲㤷昷愰戵㈰㉦㑢愰昶敤愱㜸ㅣ㌰㘰㤴ㄲㄲ扣㥦㘱戱㍣㘰搳㈸ㄸ愰攸捦ㅢ㠷攷愵㐹㜸㐳㐱㑦慦挵昵㜲愱搸散扣挴ㄴ挲搲㔲愵ㄴ㈳扣㝢ㄹ挵挵㈵㉥㐴昷挱て㉥㠶㠸㤸挴慤㐶㠰户㌶㥡扤㠶㜴㉥㝤挱㘰㑢愸㔱㕦攳㙥㕢换㥣ㄸ戵昷摤慣昱扡昶晦昵慡㌸㌴㉢愷愵敥昸㍦㠲愴扣ㄷ㐰昴〲㜰㍥㌵〴昷㤱攰捦〱㠲晤〰戵扢㘴捥㝢ち㌶ㅥ捣昱晥㈴㤴攳㜴攰㙥㘸戸㔵挱㍤っ㔸愲戵㠴㜸㡦㈱敦〷昸搶攱挳㍣愵晡〴㉦〲摣晥ㄹ㍣〹㠷挹㍣昹㔱㠲〷〰㠲挳〰扦㐶ㅣ㔴ㅤ昶换㈷㑣攵攸㔶づ㤴㙤愶昷晣戸挴㜴づ㤲㥥攳㘲つ㑥㌹㔸搸攷㈷搱㘱㄰散〰摢摣㕤戳㘰敢㑢戱愷㡣㠷㝤㠲㈱㑥㕡㕢㥦昶㌱㠰搳㉢㙦㥢㜴㠲㍦愵㘲㈶㌹㑤㤳㐸〲戵㔲㑡晣㥤晤挱挰㈸戵扦晣ぢ〰挱〸㈹㤵㉡昶㤴扤挹ㅥ㐲晡搸㥢㙣ㅤ㙢攰㈳㍦敥㈴㤸ㄱ敢〱㕣挱愰扥〸㠷搵搲㍥㡣愴㍣〸㈰挶〱ㅡ㄰㍣㐲㠲㐳〰挱㉢〱㙡戵㑡㜵㙣搲㠹㘰〶搴㑢㙣扣搹ぢ攱㤲㑣㕤〹〶搵ㄶ㙣昱㕣攵㘹昶㉤㕥〸㜵㤰捡㔹摡㈴昴戳㤱づ摢搲㐵㤱愷㈲昱晢〳㔰㔲㕡敤㑤㑤㕤户㙣㘲搲㔰昱㔳㐱戱搷晥ㄲ愰㥤㈱ㄴ戴㥦搸㤶愴㈶㔷㍣㐴㥣收㈸㡡搴㠳㌳昸愳㑣㠴挵㈶㐰㜷敥㘷㄰㘳㌳攷㌱㈴攵㈷〱〴攳㝤挳昸㈸昵收慣㌳㠳㝣㙡㥤㈵搷㔹㍤㙣挳扢㥥ㅦ㐰㕥慤攷攳㐸㠸㙢〱慡搶昳搳㐰ㅣ㝢㍤㜷戰㉥㍥昲㐹㈷挱㡣㘰攰搰ㅤ戲㘷㍤㍦㐳挲愷㐸㤰㘸㑣昰㌴〹㍥㑢㠲㥤〰㕣㔳敤㜳〰㉤㉥慦㠶㠶〷ㅡ㌱敡昳愰〱愳搲㠰㙥慦㡢㠹戱ㄹ昵〵㈴攵㌳〰㈲〷愰㕥〴㔸㠵㠴㑦㝥㤱㄰㘸㄰捡㉦㈱挱晤㤱挷昷㐵挴㍡㡦挷㔰攰愴晥㌷挰㤲慡㠰㙦㥥搶㌹昵㘳㥤晣〴挳㡦㤷㤰㔸㍥㑢挰扥搵昱攳㌹㈴搸ㄸ㈳㤳㤷攲㜳㌰搸㝦㕤㜱搱捦㔷㈳㠹攷挸㑤㥦扦散㡥戳晥慤攵戵㉢散扤敢ㄳっ㔱摡㕢昷㉢㐸㉤ㄹ捦㥢〵㈵戸㥢攸㕦㘴捦ㅢ㡢挶搴㜸挸〱㡦挳㈶ㄸ搴㔴换晣㍣ㄲ㘲ㅡ挰㕥㘶挷㌶扥〰挴戱㤷㜹㍦敢攲㈳㕦㈴戹昳ㄱっ㝢扡っ㐷ㄲ戳㔱摢昶㈵㈴攵㔷〱挴昵〰つ〸扥㐶㠲慦㤳㠰㐱㔲ㅡㅤ昹㌲㐰搹㑥㌰〶敡㔶㙢㐷摡㘹昷ㅢ㈴晣㈶㐰昰㔶㠰攳㡢㡣㌵㠳㌲攲〹㔷慡慢㠹㐵收㔵搳㝡ㄶ敦慤㑥攰捣㕣㈲敡㘴㜰㤶〲㜶攴攲㤸敡㐴㑤攱摡ㅤ搴㈴戵㍣愸㔶㍤捥摣搴㑤捣挲㈲ㅢ攱㘰っ㉡改昸㝡愱㜸㔴摦㡤搰㐱〸换㔷〸㈱收户攱㕢㠹搰〱㈴摣㐷摣㡥㔴ㅤ㌶㜸〷戰昳ㅣ㌲㙡㠲〲慣扦愴攲ㄲ搱昹㕤㤱㠵㌵㍢㡥戳挶㘱㜶㝦㘷愳㌱㠸扢㕣散摦㍡〹㑥㈷㐸㔷戲搶捥搴㜹慦㑡攵㤹昴㘳㈷㑢戳㔹㥣ㅤ㤸愴摤戱㔳㜴㤶㄰つ〵づ㠳㉥ㄴㄱ〸〹搴摥收㤶敢㉥㐷㝦㉤愷搴扣昱愵慡戱攴㙥づ㈹㡡㈵㥡戳㝥昵慡戰づㅦ敤摢〰愷㙣捣愴㡡〵慢㘰㤶㍡㈷㜱晥敤攴㍢㠰㈶㈲㈱挳挱㔵㘸戱㘱㥦㥣㔸㈰捦㔷扣昷昱ㄲ㉣扣㈷㕦搸㥦㔷愳〹㕡㝣ㄵ㔲慤㘴㜳㌳扢〹攳愳㥥ぢ戰扥ㄱ㜷捤㈳㜴㐶昹㐴攸㤰昲㠹摣㘷㝦晢㈲昴㐰昹㜴摣て挰敡ㅡ㜳㈷昲㠹搰搳攴㌲㙡㝦〷搰㍥㍡㤲昰ㅣ㔷戵扦〷慥ㄵ㌸愵㔴户攰摤㐱敤㍢挰㉣〲愶晡㘵昷〸㕤㔵戶㔲㜹㈵㕣㝥ㄷ㔹愱晣㈲攲扦挷ㅣ㍥㈴ㄲ昴㡢㈸㌵攲㈲㜰㤵㙢㠵戴㑦晢㈷㠰㌹ㄷ㐰㉣〷ㄹㄷ愱㥡㠹㜴㤹戸〲昲晢〰㙤㑤ㄱ扡㐷捣㙢㍦〰㔸㍥㍡㌲扡㈵搱㍢㌰㌸㤸㑡挵扡捤挱摥㔴摦㘰㕦㝡㜰㈰㤵敡ㅢ㠸つㄸ㔱㌳ㅥ㌵㡤㕥敤㠷㘵搲敥㍥〳㠴〳搱㔴㕡敦敢㑢て昴挴晢扡㝢晢㤳㠳㐶㙦㙦㑦敦㠰㙥挶戴ㅦ㤵㐹〷㝢扡搳愹敥搸㘰戴㈷㘵昶つ㐴㝢㜴㈳㘹昴㈶晢㔳改戸㤹敡㠹昶挴戴㔷㉢愴㝤愶愹敢晤㝤㠳摤挹㜸㕦㡦㤱㑥昶っ挶㤳㍤改㜸慡㌷搶㥢㡥愵攲㤱㠳㈰㔵㤳㜸つ〹昹㍡挱ㅢ〴㍦〶㠸㍣〲愰ち晦㤹愸㥦㄰晣㤴攰㘷〰ㄱ晡㜹慡㤰愴㜶㑤搵〶慢〷ㅦ〵㌸愶收㜴ㅣ㌱㌶㈲㤲㈲㈵搲挲〸㌴㌷搷摤戱㔴㙢㔱昸㘸㑡攳㔲摦㙡ㅡ㘱㜰〹㤶㘶㝥愵攸㔶ㄲ㈰慦㔶㡡㝥㘰攴㉦〸晥ㅤ㈰ㅣ㜹っ㤰〳搲㡥〰搴㡡攴㉦㠱㕢っ〱挴慤戰晢ㄲㄲ搵㠸昶ㅦ挰㔷㡢敡慦㠰㘹㈰慡㥦〴㕡昱㙣㌱ㄲ敡㥡㔰扤愰㉥晦ㅢ㔹昱㌸〱昱㙦㍡〹㘶〴晤㍥㈵慦捤㤸愵㉢慦㤲昲㑡摤㈰㠲つ㐵㤳摥㥦敡攷㉤㈴㈰㥡昴昴搴慣摥㐶挲ㄶ捤㥥㤸搱ㄷ㡦㐱戲〶捣㘸㕦㍣㥤㑡挶扡晢〷㡣戸ㄱ㑦㐶晢〶捣㠱〱敤㥤㌲愹㤹㡡挶晡〷㔳戱㔴㌲摡摦搷ㄳㅢ㐸挶晢搳㝤摤改晥攸㘰㑡搷㔳㠳扤ㅡ昷㤰搳㙡㍡摡㥤㌶㝢㝡㡤㤸㌱㠸㔶愳㠳收㐰㑦㝦㑦㜴㜰戰㝦㈰摥㥤㡡愷㌴捥搰㈶敤㑢昶改㍤㐶捦㘰㝦㍣ㅥ敦搳晢㘳㠳〳改〱㌳摥ㄳ敦㡥ㅢ〳愹㍥㍤ㄶ㜹捡ㄹ戴愴㜳㉦晤〴㑤〴㡣㔴㐷㥥㜶ぢㅢ㠹㈶㕤㔶㌵晤㑡㑤㔶㔲搵挵攷㔱㐸昱ㄴ扦㝡攷攸㔱㡡㡥ㄲ㠱㜶㤶㜷〰㠴㈳㜴㔰㔵㙤㡡㠰攴㥡㑢㉥戰攴㥡㐶㥥〱㔰㠵㘷ㄲ昵㍥㠲戳〸㑥㐷㔵昱㐵愴攸ぢ㠵挵捦搰㌶㙤㌵㔵㑥㔸㥥挹㜶㘱㜳改搵㈲㠹㉡愴㜶㌲㠲㕥慣挲㉥㈵㜴ㅥ昱㉣ㄲ戴扢昲㙣搲搲㌹㔵㌴攷〰㜲挰晣㠸攷㕤散戹愴㐱㐶㘹戸ㄷ㤰㔰ㄲ昳ㅡ〶攱㑡㡣搶㠹昲戹㌵摣㡦㐰㕡慦攱㕥㐴㑢㈱㝣攴昹愸㉣㉦㈰㔸㐶戰㥣攰㐲〰㠸搶㑢㈸攷ㄳ昹慡晤敤㡢㝣捤㑤㝣摤㐹㜴扣㡣挴扢㘳㐱攸㠳㜲搲摡㐵ㄸ㑤敤㜶扤ㄸ戸晡㑤愸㕤〲㜴搵㙥㡤㝣搳㘹㐵扥〷〹戹〲攵戲ㄳ㈹昱ち〱㔱㤷〱㌲愱㍥捡㐹㈱昶〰〰ㅦ㘲㈳㜴㑢㤴㘰慣㐲戶慤㐹搰〴㜵攰愳㕥㈶㤱㐳㑣㔱㕡挴户挰改㠶敦㔱ㅣ㜶ち㙡㕦㍦㡣搰㝣愹㤶晢㔵换㐱㥡㥢换攷扥㠷昶搸搰ㄵ昰捣慡㕥晥㕦㠳㤷昹㘷㈹㍡㑤㠸㜵搹攷散㠰晦㜷ㄶ搶ㄶ戵㌰㠵㠳㥦攰㉢ㄸ晣㙦搰づ㌹㔸搱换㙣㔱慤㐴っ昸攰㙢挸㌵扣づ慡晤㤹㤵昷㤷㘸昴㔵㑥捤㡤㕢昰ㅢ昰戶昴搶挲㜰昹搷㜰㡢㕣㝦㘲㠵晢愶昶昲ち挶扤㜷㜵慢㑤ㄴ换昵昰攲㌱㕣㉣ㄴ慣攰㝢摤愷㔶㜲㥥㌸挵搲ちㄶ㤷散戸晡㌳搲㙥㡢ㄶづ㤹〱㝦㤳愸つ攷愹㙢ㄵ攷戵㕡摡㐳戶㠶摦㕢㡣愷戹㕦㤶㌶㠸㉦㡥㘴㑡㉡㍥捦㤳㤴㤰㜴㌵戴㐱戲㘹㘸搹扡㘵戱攰换㔸㠷攳敥愲㥡敢散㤰愲ㄱ㤶㤷愳㐰扣㡥㈴㔹㉦攴て〱戵㈱扢㡦昵换㘲攲㈵昴挱㝥㙣摤㠶昳戰㑦扣㔱㈶愶㤷愲つ摢挴㈳ㄸ搰昳㈰㙣ㄸ㐲㜴收っ㔳敡㌲㙤㑤㝥㍡㠷㡡ㅥ㐱攰㤰昸㠴攵㈸㝢昹㌱㤲慦攱㈳攴慢㠰摡ㅡ扢㤷㜱っ改㔹㘷㐸摣㈶㜸㍤㤰挴戴ぢㅣ㈵㔱㠲慥㡢㍢㘴㐱ㄷ㠶ㄹ㑥㔶晣っ㠰㘳挴㤷慦㠳㝥〰㈵㠷ㅦ捦㜳攴ち㈷戳摡晥づ㌹摦ㄱ攷晢㤴搵ㅤ㜴ㅥ㔴捤ㅤ攲扣〳挳挱㔷㙦慡㝤搵㠸㌵㜷扥㜱攱㌰扦㙦晥㔰㤷晡摥昹挶挰戰愰改慦攸㠹㐹攴㙣㍤昱っ〶搵㔰㑦㝣挱㈹愸㝤攱㉣㐲户㐱改㠹㡤㤸㍦㌴㄰㙤㍦㜵㠵昸㉢搴攰〶㔵㝢㙡㠲捣愱㕤㝣㡤㐵㤲づ㠱㜶ㄵ戲㄰愰昱㘵㜱昱ㄴ攸㕣戶㠵攵㈴㠹㘹㜹㙤攲㜷㐸扣捤㈶㕥て攲㈷ㅣ㘲㕢ㄲ戶㤳㤸ㄶ摡㈶㈶㑢戵㙢㙣攲ㄱ㄰㍦〶㘲㤷搳㘱㜹㉤㠹㘹㤴㙤㘲敡㔰㙤〷㠰㤲攳戸㌸攴戴㙣ぢ㘴〲〵ㅤ戴搰ぢ㕢ㅣ㥡昵㘳㉥㡥㙦㜷攸㐵㡣戸昲散㝥㜳戵愰㔵㙦戴㌸て㘱㜸つㄷ攷㐱愷愰敥㘵㌸扡〰昸攷㤳㍣㤴㌱挱㑦㠴㝥㠰㕡㌲ㄳ〹ㄸ㔳搷〳㄰捡攸㤳扣㡣㈱㌹㡤扦㈲㥦㐲㐲㘶㔸挷ㅦ愱敤㔷挸摤捣㌷〹摡㙡戵散昷㘱㉣㕣昶㜳㔱㌵㠴㈵愷晤㔶〵昷㍡〵敤㉣㜰㘴晤捤愳㠲愶㕤㤵㝦挴㈹攷捣㍤攵戴晡慡晣㠰㔳扥戴扡㥣づ㠱㉡扦挷㈹㔷昲戶ㄷ㔸㐱㤳㕡攱㘳挵ㄸ晥㈹㈸ㅢ昲昱づ愷愰昶ㅤ戹〸㉤戱㥡敤㍥㈴摡㥡㠲戴戶つ昵㡢扡㥦敥戲㉦昲㉡扦昲攳㈰㠲㈶㥤昶ㄶ搳晥㤱ㅤ捤㤸㝡ㄷ㉡慢づ捥慤戸搳㉢攲㜷㜶ㅢ㜰㐵㡤㥢㍣晣㜰搹㌹㙤攲敡㥡㠱㘶昷搶㐸慡ㅣ㉢㙢收㐴ㄱ搷㐸捤收戸㠵㡢昰㜴〸㍦㕥㈹攱㜷㡦昹㤳㈱㠶㠵㔰㐶㠰㕢〸〶㥦慦慦昹ㅢ㐶ㄱ㤶愳戸愱捤戰㔹㔸攱㠷晢挶㠷㥦㔷㠱ぢ㡢㘰㘹晢㈹〹攵ㅦ㕣敤愳㑤戵晣攲㔶㉣户㜲㍦晦愵攷㑣敡つ㍣㝥㥦㥣〵慤㜶㍤〰㝦攳㈱散㜹㐰扤摦〰㡣ち摢㉡攰ㄳ㜴㡢㈸〶摡ㅦ〰㜸慦㔰搲㥥㉢㤴㠰戸挵敤挳㜷戳慦搲挷㑤慣㜸㌳㐰ㄳ㉣㤱摡㤴〰㘱昹㠷挰㜸晡〸搲ㄳ愹㘵ㅥ攳㐶㙢㌹慡㥡㥦愳戵戴㤰愳敥ㄳ戸ㅣ㔵攷㌳攴㔴㥥捤戹㠴捥晦搳㈱㤴㑢㘴㡤晣慥搲㔴昹晦㜱㠰㤹挷㑦㡦攴ㅦ愱ㄱ㜶挵㡦愰挹㘵慢昲㐳㕥㉣㑤愴挲㝥搸㡢㕤攷㘲晦搸㡢愵㠵㈰换㈴㔹ㄶ㄰㌳つ㔹㜳ㅢ〹挸㥡ち㕢敥㈰㙡ㄵ㌰づ敢㈷㤰㈷㙢摣㐷搰㘰愸㐱摣㠹㐴㜹挰摢㕤散㕤㕥散戵㉥昶㙥㉦㤶扡㕥戵昰㘷ㅥ㙣㠴㕡㔳㙤晢㝢㤰㠰㤲愳扥㔴扡㈶㡦愱㔳挹㉤挲㄰㐲昰慦愸ㄹ㔵㐱捥㈹攰㑢摤㈱扣㐵㐹㙤愹ち戲㑥挱改㉣〸攱㡣㜶㔴㔰㜳㉡〹扡て㠹㝡改摣㡤ㅡ昵搲㜹㍦㘸戵㡦〲㔴愴㤳㤲昳〰㌰㕥ㄶ㔱晦㤱㐵㕢ㅦ㜸㜶昵摢扤㍢㠶〵ㄵ㤷ㅡ㠸攱っ攴ちっ㐴㍥〸㙣㤰〲㝦摣㍢ㄱ戴ぢつ戳㍥㠴扡攲〶〲㜶晤㜱㈷挱㡣攰㝥攰㌰攴挳挴㜲ㅢ攰ㅦ㙥晤〰摤攵散愰㌰ㄲㅢ愲攸㜶㔰〸㉢㌹ち㕦㈵㐷愱㉢攷〴〵㑡戵晤〸搱㤴㈵㤶挹㐳㠰攵戶㈹㌷挴摡㙤㔳㕥㉡㌹捡㐹㈵㐷昹㈸攷〴攵㐲㜱㜵㠷㤷慢㥦㈰つㄷ㑡㜵晢㈸㜳て㄰戰摢挷〰换摤㤲晤摢㠱昵捦㠸搴捥昴捥㥤㙦㜶〴㍡捦ち晣敥敡搶〷㕥㝤攵昵〳摦昹扤愱㥦扥昵攰㠳摦昹昱㠱挳㙦㍤㤷ㅣ晡挶愱㐳㕦扢昲攱挳慦㉦㌶て晡晦晡捤つ〷㙦㡣敥戹昱㍡㜳摢愵敢㙥扣㘶昷㔵搱捤㡢㔶㌴㌵㌵㌷㕦戴攴㥢㘷㕣ㅣ戹昹扡㉦㠹ㄷ晦昱昴扣㔰㉣㘷户敥愱ㄱ㘹㕦㠴慣㔷㘲晤㈹㈴㈰搶㡡改愴㝡ㅣ㜹昷㠹ㅣ㜴愹㥥㐰㐲㝥㥡愴㝥愱㜸㔸㐷㑡㕥慡〶㍦㐳搲愷ㄴ㘹〷戹昰慥㑥㑥㌱㤶㘳㜹ㅡ㍤昱㈱㕦㈳㘴戰ㅡ换㘷㤱㤰㥦〳挰戰㌹㔱戵㑥㥢㥣㜵ㅡ〱㈹昶㘷挴㥤戱攰㈴ㄵ挵挶㙡ち挱㠹慢㠲つ㑥㐱〴㔵攵㌳挰ち捥㔶ㄵ㕤㔹㔳㠷ㅣ㔰〵攳戵㜵㈲ㅣ㉢㠷搷ㄶ㄰ㅣ愰愲㕡㕦㔳㥤㠳㔶〵敢扣搵㥦〵㔶戰㕦㈵㔵㕦㘶㡥㈸㤵㝢㡥㌹㠵攲攰摣㐹㈱㡤ㄸづ㡢㠸㕤㑡攸㍣㉤晦〷搵㤹攵㤰</t>
  </si>
  <si>
    <t>Certain Monetary Equivalent</t>
  </si>
  <si>
    <t>Loss Potential</t>
  </si>
  <si>
    <t>Loss</t>
  </si>
  <si>
    <t>Loss Scenario 1</t>
  </si>
  <si>
    <t>Loss Scenario 2</t>
  </si>
  <si>
    <t>Loss Scenario 3</t>
  </si>
  <si>
    <t>Loss Scenario 4</t>
  </si>
  <si>
    <t>Probability of loosing</t>
  </si>
  <si>
    <t>Loss Scenario 5</t>
  </si>
  <si>
    <t>Loss Scenario 6</t>
  </si>
  <si>
    <t>Loss Scenario 7</t>
  </si>
  <si>
    <t>C7</t>
  </si>
  <si>
    <t>SCENARIO ANALYSIS</t>
  </si>
  <si>
    <r>
      <t xml:space="preserve"> EV = (Prob. winning </t>
    </r>
    <r>
      <rPr>
        <sz val="9"/>
        <color theme="1"/>
        <rFont val="Calibri"/>
        <family val="2"/>
      </rPr>
      <t>x</t>
    </r>
    <r>
      <rPr>
        <i/>
        <sz val="9"/>
        <color theme="1"/>
        <rFont val="Calibri"/>
        <family val="2"/>
        <scheme val="minor"/>
      </rPr>
      <t xml:space="preserve">  Return) + ((1-Prob. winning) x Loss)</t>
    </r>
  </si>
  <si>
    <t>Analyzing win/loss scenarios using Probabilistic Expected Value</t>
  </si>
  <si>
    <t>Standard Warranty</t>
  </si>
  <si>
    <t>Premium Warranty</t>
  </si>
  <si>
    <t>Lemon</t>
  </si>
  <si>
    <t>Extended Warranty</t>
  </si>
  <si>
    <t>Lease New Car</t>
  </si>
  <si>
    <t>Buy current lease</t>
  </si>
  <si>
    <t>No warranty</t>
  </si>
  <si>
    <t>Reliable</t>
  </si>
  <si>
    <t>Major failure</t>
  </si>
  <si>
    <t>Lease decision</t>
  </si>
  <si>
    <t>Loss Scenario</t>
  </si>
  <si>
    <t>Risk Averse</t>
  </si>
  <si>
    <t>Neutral</t>
  </si>
  <si>
    <t>Risk Seeking</t>
  </si>
  <si>
    <t>risk premium</t>
  </si>
  <si>
    <t>High Revenue</t>
  </si>
  <si>
    <t>Expected Revenue</t>
  </si>
  <si>
    <t>Low Revenue</t>
  </si>
  <si>
    <t>Certain Monetary Equivalence using Expected Value</t>
  </si>
  <si>
    <t>CME using 2 outcome model</t>
  </si>
  <si>
    <t>CME using multiple weighted outcomes</t>
  </si>
  <si>
    <t>=SUMPRODUCT(C6:C7,D6:D7)</t>
  </si>
  <si>
    <t>D7</t>
  </si>
  <si>
    <t xml:space="preserve"> =1-D6</t>
  </si>
  <si>
    <t>Risk-free rate</t>
  </si>
  <si>
    <t>Risk Premium (incl. risk-free)</t>
  </si>
  <si>
    <t>Risk Price Adjustment</t>
  </si>
  <si>
    <t>Super-widgets revenue scenarios</t>
  </si>
  <si>
    <t>Dave</t>
  </si>
  <si>
    <t>Ralph</t>
  </si>
  <si>
    <t>Bob</t>
  </si>
  <si>
    <t>Averse</t>
  </si>
  <si>
    <t>Seeking</t>
  </si>
  <si>
    <t xml:space="preserve"> EV</t>
  </si>
  <si>
    <t>Unadjusted</t>
  </si>
  <si>
    <t>Scenario</t>
  </si>
  <si>
    <t>Attitude</t>
  </si>
  <si>
    <t>Premium</t>
  </si>
  <si>
    <t>Adjusted EV</t>
  </si>
  <si>
    <t>Average</t>
  </si>
  <si>
    <t>Risk adj. to sell price</t>
  </si>
  <si>
    <t>Lease new or buy old car decision</t>
  </si>
  <si>
    <t>Ice Cream + Tacos</t>
  </si>
  <si>
    <t>Coffee + Donuts</t>
  </si>
  <si>
    <t>Framing the Decision Strategy for Improving Daily Food Sales</t>
  </si>
  <si>
    <t>Calculating Expected Value with No Information</t>
  </si>
  <si>
    <t>Improving Food Truck Sales using the Weather</t>
  </si>
  <si>
    <t>Course of Action</t>
  </si>
  <si>
    <t>Hot</t>
  </si>
  <si>
    <t>Days</t>
  </si>
  <si>
    <t>Freezing</t>
  </si>
  <si>
    <t>Rainy</t>
  </si>
  <si>
    <t>Snowy</t>
  </si>
  <si>
    <t>January</t>
  </si>
  <si>
    <t>February</t>
  </si>
  <si>
    <t>March</t>
  </si>
  <si>
    <t>April</t>
  </si>
  <si>
    <t>May</t>
  </si>
  <si>
    <t>June</t>
  </si>
  <si>
    <t>July</t>
  </si>
  <si>
    <t>August</t>
  </si>
  <si>
    <t>September</t>
  </si>
  <si>
    <t>October</t>
  </si>
  <si>
    <t>November</t>
  </si>
  <si>
    <t>December</t>
  </si>
  <si>
    <t>https://www.bestplaces.net/weather/city/new_york/new_york</t>
  </si>
  <si>
    <t>Value of Additional Probability Information per day</t>
  </si>
  <si>
    <t xml:space="preserve">Value of switching optimal strategies </t>
  </si>
  <si>
    <t>Historical Data</t>
  </si>
  <si>
    <t>% Rain</t>
  </si>
  <si>
    <t>Month</t>
  </si>
  <si>
    <t>Sun/Sun</t>
  </si>
  <si>
    <t>Rains when sun is predicted</t>
  </si>
  <si>
    <t>Sunny when rain is predicted</t>
  </si>
  <si>
    <t>Rain/Rain</t>
  </si>
  <si>
    <t>Probability of accurate forecast</t>
  </si>
  <si>
    <t>Forecasting Accuracy</t>
  </si>
  <si>
    <t xml:space="preserve">Weighted Probability </t>
  </si>
  <si>
    <t>P(b2|x2)</t>
  </si>
  <si>
    <r>
      <rPr>
        <b/>
        <i/>
        <sz val="11"/>
        <color indexed="8"/>
        <rFont val="Calibri"/>
        <family val="2"/>
      </rPr>
      <t>P(b2|x2):</t>
    </r>
    <r>
      <rPr>
        <i/>
        <sz val="11"/>
        <color indexed="8"/>
        <rFont val="Calibri"/>
        <family val="2"/>
      </rPr>
      <t xml:space="preserve"> Probability of a rainy day with a rainyday forecast prediction</t>
    </r>
  </si>
  <si>
    <r>
      <rPr>
        <b/>
        <i/>
        <sz val="11"/>
        <color indexed="8"/>
        <rFont val="Calibri"/>
        <family val="2"/>
      </rPr>
      <t>P(b1|x1):</t>
    </r>
    <r>
      <rPr>
        <i/>
        <sz val="11"/>
        <color indexed="8"/>
        <rFont val="Calibri"/>
        <family val="2"/>
      </rPr>
      <t xml:space="preserve"> Probability of a sunny day with a sunny day forecast prediction</t>
    </r>
  </si>
  <si>
    <t>Calculate conditionals</t>
  </si>
  <si>
    <t>Prob. Of what is predicted happens</t>
  </si>
  <si>
    <t>Seasonal Probability (Priors)</t>
  </si>
  <si>
    <t>Expected Value conditional to the days forecast</t>
  </si>
  <si>
    <t>Optimal Strategies Table</t>
  </si>
  <si>
    <t xml:space="preserve">*multiplying the Posterior Probabilities X Payof Matrix gives you the optimal policy given a state of nature </t>
  </si>
  <si>
    <t>Decision Strategy for Cloudy Days using Bayes</t>
  </si>
  <si>
    <t>Weighted State</t>
  </si>
  <si>
    <t>Optimal EV</t>
  </si>
  <si>
    <t>Cloudy Day EV</t>
  </si>
  <si>
    <t>Expected Value for Food Truck Sales using Naïve Probability</t>
  </si>
  <si>
    <t>Decision under complete uncertainty</t>
  </si>
  <si>
    <t>GreenGear Purchase Problem</t>
  </si>
  <si>
    <t>PowerPack</t>
  </si>
  <si>
    <t>Multi-Purpose</t>
  </si>
  <si>
    <t>Machine leasing options</t>
  </si>
  <si>
    <t>Annual Capacity</t>
  </si>
  <si>
    <t>Lease Cost</t>
  </si>
  <si>
    <t>Sell Price</t>
  </si>
  <si>
    <t>No Lease</t>
  </si>
  <si>
    <t>Federal Program</t>
  </si>
  <si>
    <t>Neither Bill</t>
  </si>
  <si>
    <t>Both Bills</t>
  </si>
  <si>
    <t>SuperStack</t>
  </si>
  <si>
    <t>Product Strategy</t>
  </si>
  <si>
    <t>Demand Scenarios</t>
  </si>
  <si>
    <t>Payoff Matrix</t>
  </si>
  <si>
    <t>Min Payoff</t>
  </si>
  <si>
    <t>Max Payoff</t>
  </si>
  <si>
    <t>Municipal Program</t>
  </si>
  <si>
    <t>Regret Matrix</t>
  </si>
  <si>
    <t>Weighted Scenarios</t>
  </si>
  <si>
    <t>Pass</t>
  </si>
  <si>
    <t>Not Pass</t>
  </si>
  <si>
    <t>Equal Probability</t>
  </si>
  <si>
    <t>Alpha</t>
  </si>
  <si>
    <t>U(x)</t>
  </si>
  <si>
    <t>Outcome</t>
  </si>
  <si>
    <t>Weighted Payoff</t>
  </si>
  <si>
    <t>Utility</t>
  </si>
  <si>
    <t>Conditional probabilities of bills passing</t>
  </si>
  <si>
    <t>Payoff Analysis</t>
  </si>
  <si>
    <t>Utility Curve Estimate</t>
  </si>
  <si>
    <t>r</t>
  </si>
  <si>
    <t>r (odds)</t>
  </si>
  <si>
    <t>alpha</t>
  </si>
  <si>
    <t>Preference Probability</t>
  </si>
  <si>
    <t>Pref. Prob.</t>
  </si>
  <si>
    <t>Return Ulimit</t>
  </si>
  <si>
    <t>Return Llimit</t>
  </si>
  <si>
    <t>Steps</t>
  </si>
  <si>
    <t>Step</t>
  </si>
  <si>
    <t>Coefficients</t>
  </si>
  <si>
    <t>Decision Analysis Table</t>
  </si>
  <si>
    <t>Calculating Payoff and Regret Matrices</t>
  </si>
  <si>
    <t>Regret Analysis</t>
  </si>
  <si>
    <t>CME</t>
  </si>
  <si>
    <t>Mean Utility</t>
  </si>
  <si>
    <t>PrefProb</t>
  </si>
  <si>
    <t>ExpU</t>
  </si>
  <si>
    <t>Value^2</t>
  </si>
  <si>
    <t>Certain Money Equivalence using Expected Value + Utility</t>
  </si>
  <si>
    <t>EV Utility</t>
  </si>
  <si>
    <r>
      <t xml:space="preserve"> EV = (Prob. of Win </t>
    </r>
    <r>
      <rPr>
        <sz val="9"/>
        <color theme="1"/>
        <rFont val="Calibri"/>
        <family val="2"/>
      </rPr>
      <t>x</t>
    </r>
    <r>
      <rPr>
        <i/>
        <sz val="9"/>
        <color theme="1"/>
        <rFont val="Calibri"/>
        <family val="2"/>
        <scheme val="minor"/>
      </rPr>
      <t xml:space="preserve">  Return) + ((1-Prob. of Win) x Value of Life)</t>
    </r>
  </si>
  <si>
    <t>C14</t>
  </si>
  <si>
    <t>C16</t>
  </si>
  <si>
    <t xml:space="preserve"> =(C4-C5)/20</t>
  </si>
  <si>
    <t>C17</t>
  </si>
  <si>
    <t xml:space="preserve"> =AVERAGE(J5:J25)</t>
  </si>
  <si>
    <t>Risk Adjusted EV</t>
  </si>
  <si>
    <t>Premium over CME</t>
  </si>
  <si>
    <t>Prob.</t>
  </si>
  <si>
    <t>D5</t>
  </si>
  <si>
    <t>E5</t>
  </si>
  <si>
    <t xml:space="preserve"> =+C5*D5</t>
  </si>
  <si>
    <t>E6</t>
  </si>
  <si>
    <t xml:space="preserve"> =+C6*D6</t>
  </si>
  <si>
    <t>E8</t>
  </si>
  <si>
    <t xml:space="preserve"> =SUMPRODUCT(C5:C6,D5:D6)</t>
  </si>
  <si>
    <t xml:space="preserve"> =+D6*C6</t>
  </si>
  <si>
    <t xml:space="preserve"> =+D7*C7</t>
  </si>
  <si>
    <t>C9</t>
  </si>
  <si>
    <t xml:space="preserve"> =SUMPRODUCT(C6:C7,D6:D7)</t>
  </si>
  <si>
    <t>C13</t>
  </si>
  <si>
    <t xml:space="preserve"> =+C9/(1+C11)</t>
  </si>
  <si>
    <t>Finacial CME using 2 outcome model</t>
  </si>
  <si>
    <t>E4</t>
  </si>
  <si>
    <t xml:space="preserve"> =+C4*D4</t>
  </si>
  <si>
    <t xml:space="preserve"> =1-D4</t>
  </si>
  <si>
    <t xml:space="preserve"> =D5*C5</t>
  </si>
  <si>
    <t xml:space="preserve"> =SUMPRODUCT(C4:C5,D4:D5)</t>
  </si>
  <si>
    <t>C11</t>
  </si>
  <si>
    <t xml:space="preserve"> =+C10/(1-C10)</t>
  </si>
  <si>
    <t>C12</t>
  </si>
  <si>
    <t xml:space="preserve"> =IF(C10=0.5,1,C10^2/(2*C10-1))</t>
  </si>
  <si>
    <t xml:space="preserve"> =+C7^2*J27+K27*C7+L27</t>
  </si>
  <si>
    <t xml:space="preserve"> =IF(C10=0.5,(C16*(C4-C5)+C5),C5-($C$4-$C$5)*LN(1-C14/C12)/(2*LN(C11)))</t>
  </si>
  <si>
    <t>Graph data</t>
  </si>
  <si>
    <t>Economic CME</t>
  </si>
  <si>
    <t>Accounting for probability and utility</t>
  </si>
  <si>
    <t>Risk adj. to EV sell price</t>
  </si>
  <si>
    <t>f-CME</t>
  </si>
  <si>
    <t>e-CME</t>
  </si>
  <si>
    <t>Premium over CME 
(negotiating room)</t>
  </si>
  <si>
    <t>Probabilities of bills passing</t>
  </si>
  <si>
    <t>Strategy 1</t>
  </si>
  <si>
    <t>Strategy 2</t>
  </si>
  <si>
    <t>Strategy 3</t>
  </si>
  <si>
    <t>Strategy 4</t>
  </si>
  <si>
    <t>Strategy 5</t>
  </si>
  <si>
    <t>Strategy 6</t>
  </si>
  <si>
    <t>Strategy 7</t>
  </si>
  <si>
    <t>Strategy 8</t>
  </si>
  <si>
    <t>Lease</t>
  </si>
  <si>
    <t>-</t>
  </si>
  <si>
    <t>Yes</t>
  </si>
  <si>
    <t>no</t>
  </si>
  <si>
    <r>
      <t>S</t>
    </r>
    <r>
      <rPr>
        <vertAlign val="subscript"/>
        <sz val="11"/>
        <color theme="1"/>
        <rFont val="Calibri"/>
        <family val="2"/>
      </rPr>
      <t>1</t>
    </r>
  </si>
  <si>
    <r>
      <t>S</t>
    </r>
    <r>
      <rPr>
        <vertAlign val="subscript"/>
        <sz val="11"/>
        <color theme="1"/>
        <rFont val="Calibri"/>
        <family val="2"/>
      </rPr>
      <t>2</t>
    </r>
    <r>
      <rPr>
        <sz val="11"/>
        <color theme="1"/>
        <rFont val="Calibri"/>
        <family val="2"/>
        <scheme val="minor"/>
      </rPr>
      <t/>
    </r>
  </si>
  <si>
    <r>
      <t>S</t>
    </r>
    <r>
      <rPr>
        <vertAlign val="subscript"/>
        <sz val="11"/>
        <color theme="1"/>
        <rFont val="Calibri"/>
        <family val="2"/>
      </rPr>
      <t>3</t>
    </r>
    <r>
      <rPr>
        <sz val="11"/>
        <color theme="1"/>
        <rFont val="Calibri"/>
        <family val="2"/>
        <scheme val="minor"/>
      </rPr>
      <t/>
    </r>
  </si>
  <si>
    <r>
      <t>S</t>
    </r>
    <r>
      <rPr>
        <vertAlign val="subscript"/>
        <sz val="11"/>
        <color theme="1"/>
        <rFont val="Calibri"/>
        <family val="2"/>
      </rPr>
      <t>4</t>
    </r>
    <r>
      <rPr>
        <sz val="11"/>
        <color theme="1"/>
        <rFont val="Calibri"/>
        <family val="2"/>
        <scheme val="minor"/>
      </rPr>
      <t/>
    </r>
  </si>
  <si>
    <r>
      <t>COA</t>
    </r>
    <r>
      <rPr>
        <vertAlign val="subscript"/>
        <sz val="11"/>
        <color theme="1"/>
        <rFont val="Calibri"/>
        <family val="2"/>
      </rPr>
      <t>1</t>
    </r>
  </si>
  <si>
    <r>
      <t>COA</t>
    </r>
    <r>
      <rPr>
        <vertAlign val="subscript"/>
        <sz val="11"/>
        <color theme="1"/>
        <rFont val="Calibri"/>
        <family val="2"/>
      </rPr>
      <t>2</t>
    </r>
    <r>
      <rPr>
        <sz val="11"/>
        <color theme="1"/>
        <rFont val="Calibri"/>
        <family val="2"/>
        <scheme val="minor"/>
      </rPr>
      <t/>
    </r>
  </si>
  <si>
    <r>
      <t>COA</t>
    </r>
    <r>
      <rPr>
        <vertAlign val="subscript"/>
        <sz val="11"/>
        <color theme="1"/>
        <rFont val="Calibri"/>
        <family val="2"/>
      </rPr>
      <t>3</t>
    </r>
    <r>
      <rPr>
        <sz val="11"/>
        <color theme="1"/>
        <rFont val="Calibri"/>
        <family val="2"/>
        <scheme val="minor"/>
      </rPr>
      <t/>
    </r>
  </si>
  <si>
    <r>
      <t>COA</t>
    </r>
    <r>
      <rPr>
        <vertAlign val="subscript"/>
        <sz val="11"/>
        <color theme="1"/>
        <rFont val="Calibri"/>
        <family val="2"/>
      </rPr>
      <t>4</t>
    </r>
    <r>
      <rPr>
        <sz val="11"/>
        <color theme="1"/>
        <rFont val="Calibri"/>
        <family val="2"/>
        <scheme val="minor"/>
      </rPr>
      <t/>
    </r>
  </si>
  <si>
    <r>
      <t>COA</t>
    </r>
    <r>
      <rPr>
        <vertAlign val="subscript"/>
        <sz val="11"/>
        <color theme="1"/>
        <rFont val="Calibri"/>
        <family val="2"/>
        <scheme val="minor"/>
      </rPr>
      <t>1</t>
    </r>
    <r>
      <rPr>
        <sz val="11"/>
        <color theme="1"/>
        <rFont val="Calibri"/>
        <family val="2"/>
        <scheme val="minor"/>
      </rPr>
      <t>S</t>
    </r>
    <r>
      <rPr>
        <vertAlign val="subscript"/>
        <sz val="11"/>
        <color theme="1"/>
        <rFont val="Calibri"/>
        <family val="2"/>
        <scheme val="minor"/>
      </rPr>
      <t>1</t>
    </r>
  </si>
  <si>
    <r>
      <t>COA</t>
    </r>
    <r>
      <rPr>
        <vertAlign val="subscript"/>
        <sz val="11"/>
        <color theme="1"/>
        <rFont val="Calibri"/>
        <family val="2"/>
        <scheme val="minor"/>
      </rPr>
      <t>1</t>
    </r>
    <r>
      <rPr>
        <sz val="11"/>
        <color theme="1"/>
        <rFont val="Calibri"/>
        <family val="2"/>
        <scheme val="minor"/>
      </rPr>
      <t>S</t>
    </r>
    <r>
      <rPr>
        <vertAlign val="subscript"/>
        <sz val="11"/>
        <color theme="1"/>
        <rFont val="Calibri"/>
        <family val="2"/>
        <scheme val="minor"/>
      </rPr>
      <t>2</t>
    </r>
  </si>
  <si>
    <r>
      <t>COA</t>
    </r>
    <r>
      <rPr>
        <vertAlign val="subscript"/>
        <sz val="11"/>
        <color theme="1"/>
        <rFont val="Calibri"/>
        <family val="2"/>
        <scheme val="minor"/>
      </rPr>
      <t>1</t>
    </r>
    <r>
      <rPr>
        <sz val="11"/>
        <color theme="1"/>
        <rFont val="Calibri"/>
        <family val="2"/>
        <scheme val="minor"/>
      </rPr>
      <t>S</t>
    </r>
    <r>
      <rPr>
        <vertAlign val="subscript"/>
        <sz val="11"/>
        <color theme="1"/>
        <rFont val="Calibri"/>
        <family val="2"/>
        <scheme val="minor"/>
      </rPr>
      <t>3</t>
    </r>
  </si>
  <si>
    <r>
      <t>COA</t>
    </r>
    <r>
      <rPr>
        <vertAlign val="subscript"/>
        <sz val="11"/>
        <color theme="1"/>
        <rFont val="Calibri"/>
        <family val="2"/>
        <scheme val="minor"/>
      </rPr>
      <t>1</t>
    </r>
    <r>
      <rPr>
        <sz val="11"/>
        <color theme="1"/>
        <rFont val="Calibri"/>
        <family val="2"/>
        <scheme val="minor"/>
      </rPr>
      <t>S</t>
    </r>
    <r>
      <rPr>
        <vertAlign val="subscript"/>
        <sz val="11"/>
        <color theme="1"/>
        <rFont val="Calibri"/>
        <family val="2"/>
        <scheme val="minor"/>
      </rPr>
      <t>4</t>
    </r>
  </si>
  <si>
    <r>
      <t>COA</t>
    </r>
    <r>
      <rPr>
        <vertAlign val="subscript"/>
        <sz val="11"/>
        <color theme="1"/>
        <rFont val="Calibri"/>
        <family val="2"/>
        <scheme val="minor"/>
      </rPr>
      <t>2</t>
    </r>
    <r>
      <rPr>
        <sz val="11"/>
        <color theme="1"/>
        <rFont val="Calibri"/>
        <family val="2"/>
        <scheme val="minor"/>
      </rPr>
      <t>S</t>
    </r>
    <r>
      <rPr>
        <vertAlign val="subscript"/>
        <sz val="11"/>
        <color theme="1"/>
        <rFont val="Calibri"/>
        <family val="2"/>
        <scheme val="minor"/>
      </rPr>
      <t>1</t>
    </r>
  </si>
  <si>
    <r>
      <t>COA</t>
    </r>
    <r>
      <rPr>
        <vertAlign val="subscript"/>
        <sz val="11"/>
        <color theme="1"/>
        <rFont val="Calibri"/>
        <family val="2"/>
        <scheme val="minor"/>
      </rPr>
      <t>2</t>
    </r>
    <r>
      <rPr>
        <sz val="11"/>
        <color theme="1"/>
        <rFont val="Calibri"/>
        <family val="2"/>
        <scheme val="minor"/>
      </rPr>
      <t>S</t>
    </r>
    <r>
      <rPr>
        <vertAlign val="subscript"/>
        <sz val="11"/>
        <color theme="1"/>
        <rFont val="Calibri"/>
        <family val="2"/>
        <scheme val="minor"/>
      </rPr>
      <t>2</t>
    </r>
  </si>
  <si>
    <r>
      <t>COA</t>
    </r>
    <r>
      <rPr>
        <vertAlign val="subscript"/>
        <sz val="11"/>
        <color theme="1"/>
        <rFont val="Calibri"/>
        <family val="2"/>
        <scheme val="minor"/>
      </rPr>
      <t>2</t>
    </r>
    <r>
      <rPr>
        <sz val="11"/>
        <color theme="1"/>
        <rFont val="Calibri"/>
        <family val="2"/>
        <scheme val="minor"/>
      </rPr>
      <t>S</t>
    </r>
    <r>
      <rPr>
        <vertAlign val="subscript"/>
        <sz val="11"/>
        <color theme="1"/>
        <rFont val="Calibri"/>
        <family val="2"/>
        <scheme val="minor"/>
      </rPr>
      <t>3</t>
    </r>
  </si>
  <si>
    <r>
      <t>COA</t>
    </r>
    <r>
      <rPr>
        <vertAlign val="subscript"/>
        <sz val="11"/>
        <color theme="1"/>
        <rFont val="Calibri"/>
        <family val="2"/>
        <scheme val="minor"/>
      </rPr>
      <t>2</t>
    </r>
    <r>
      <rPr>
        <sz val="11"/>
        <color theme="1"/>
        <rFont val="Calibri"/>
        <family val="2"/>
        <scheme val="minor"/>
      </rPr>
      <t>S</t>
    </r>
    <r>
      <rPr>
        <vertAlign val="subscript"/>
        <sz val="11"/>
        <color theme="1"/>
        <rFont val="Calibri"/>
        <family val="2"/>
        <scheme val="minor"/>
      </rPr>
      <t>4</t>
    </r>
  </si>
  <si>
    <r>
      <t>COA</t>
    </r>
    <r>
      <rPr>
        <vertAlign val="subscript"/>
        <sz val="11"/>
        <color theme="1"/>
        <rFont val="Calibri"/>
        <family val="2"/>
        <scheme val="minor"/>
      </rPr>
      <t>3</t>
    </r>
    <r>
      <rPr>
        <sz val="11"/>
        <color theme="1"/>
        <rFont val="Calibri"/>
        <family val="2"/>
        <scheme val="minor"/>
      </rPr>
      <t>S</t>
    </r>
    <r>
      <rPr>
        <vertAlign val="subscript"/>
        <sz val="11"/>
        <color theme="1"/>
        <rFont val="Calibri"/>
        <family val="2"/>
        <scheme val="minor"/>
      </rPr>
      <t>1</t>
    </r>
  </si>
  <si>
    <r>
      <t>COA</t>
    </r>
    <r>
      <rPr>
        <vertAlign val="subscript"/>
        <sz val="11"/>
        <color theme="1"/>
        <rFont val="Calibri"/>
        <family val="2"/>
        <scheme val="minor"/>
      </rPr>
      <t>3</t>
    </r>
    <r>
      <rPr>
        <sz val="11"/>
        <color theme="1"/>
        <rFont val="Calibri"/>
        <family val="2"/>
        <scheme val="minor"/>
      </rPr>
      <t>S</t>
    </r>
    <r>
      <rPr>
        <vertAlign val="subscript"/>
        <sz val="11"/>
        <color theme="1"/>
        <rFont val="Calibri"/>
        <family val="2"/>
        <scheme val="minor"/>
      </rPr>
      <t>2</t>
    </r>
  </si>
  <si>
    <r>
      <t>COA</t>
    </r>
    <r>
      <rPr>
        <vertAlign val="subscript"/>
        <sz val="11"/>
        <color theme="1"/>
        <rFont val="Calibri"/>
        <family val="2"/>
        <scheme val="minor"/>
      </rPr>
      <t>3</t>
    </r>
    <r>
      <rPr>
        <sz val="11"/>
        <color theme="1"/>
        <rFont val="Calibri"/>
        <family val="2"/>
        <scheme val="minor"/>
      </rPr>
      <t>S</t>
    </r>
    <r>
      <rPr>
        <vertAlign val="subscript"/>
        <sz val="11"/>
        <color theme="1"/>
        <rFont val="Calibri"/>
        <family val="2"/>
        <scheme val="minor"/>
      </rPr>
      <t>3</t>
    </r>
  </si>
  <si>
    <r>
      <t>COA</t>
    </r>
    <r>
      <rPr>
        <vertAlign val="subscript"/>
        <sz val="11"/>
        <color theme="1"/>
        <rFont val="Calibri"/>
        <family val="2"/>
        <scheme val="minor"/>
      </rPr>
      <t>3</t>
    </r>
    <r>
      <rPr>
        <sz val="11"/>
        <color theme="1"/>
        <rFont val="Calibri"/>
        <family val="2"/>
        <scheme val="minor"/>
      </rPr>
      <t>S</t>
    </r>
    <r>
      <rPr>
        <vertAlign val="subscript"/>
        <sz val="11"/>
        <color theme="1"/>
        <rFont val="Calibri"/>
        <family val="2"/>
        <scheme val="minor"/>
      </rPr>
      <t>4</t>
    </r>
  </si>
  <si>
    <r>
      <t>COA</t>
    </r>
    <r>
      <rPr>
        <vertAlign val="subscript"/>
        <sz val="11"/>
        <color theme="1"/>
        <rFont val="Calibri"/>
        <family val="2"/>
        <scheme val="minor"/>
      </rPr>
      <t>4</t>
    </r>
    <r>
      <rPr>
        <sz val="11"/>
        <color theme="1"/>
        <rFont val="Calibri"/>
        <family val="2"/>
        <scheme val="minor"/>
      </rPr>
      <t>S</t>
    </r>
    <r>
      <rPr>
        <vertAlign val="subscript"/>
        <sz val="11"/>
        <color theme="1"/>
        <rFont val="Calibri"/>
        <family val="2"/>
        <scheme val="minor"/>
      </rPr>
      <t>1</t>
    </r>
  </si>
  <si>
    <r>
      <t>COA</t>
    </r>
    <r>
      <rPr>
        <vertAlign val="subscript"/>
        <sz val="11"/>
        <color theme="1"/>
        <rFont val="Calibri"/>
        <family val="2"/>
        <scheme val="minor"/>
      </rPr>
      <t>4</t>
    </r>
    <r>
      <rPr>
        <sz val="11"/>
        <color theme="1"/>
        <rFont val="Calibri"/>
        <family val="2"/>
        <scheme val="minor"/>
      </rPr>
      <t>S</t>
    </r>
    <r>
      <rPr>
        <vertAlign val="subscript"/>
        <sz val="11"/>
        <color theme="1"/>
        <rFont val="Calibri"/>
        <family val="2"/>
        <scheme val="minor"/>
      </rPr>
      <t>2</t>
    </r>
  </si>
  <si>
    <r>
      <t>COA</t>
    </r>
    <r>
      <rPr>
        <vertAlign val="subscript"/>
        <sz val="11"/>
        <color theme="1"/>
        <rFont val="Calibri"/>
        <family val="2"/>
        <scheme val="minor"/>
      </rPr>
      <t>4</t>
    </r>
    <r>
      <rPr>
        <sz val="11"/>
        <color theme="1"/>
        <rFont val="Calibri"/>
        <family val="2"/>
        <scheme val="minor"/>
      </rPr>
      <t>S</t>
    </r>
    <r>
      <rPr>
        <vertAlign val="subscript"/>
        <sz val="11"/>
        <color theme="1"/>
        <rFont val="Calibri"/>
        <family val="2"/>
        <scheme val="minor"/>
      </rPr>
      <t>3</t>
    </r>
  </si>
  <si>
    <r>
      <t>COA</t>
    </r>
    <r>
      <rPr>
        <vertAlign val="subscript"/>
        <sz val="11"/>
        <color theme="1"/>
        <rFont val="Calibri"/>
        <family val="2"/>
        <scheme val="minor"/>
      </rPr>
      <t>4</t>
    </r>
    <r>
      <rPr>
        <sz val="11"/>
        <color theme="1"/>
        <rFont val="Calibri"/>
        <family val="2"/>
        <scheme val="minor"/>
      </rPr>
      <t>S</t>
    </r>
    <r>
      <rPr>
        <vertAlign val="subscript"/>
        <sz val="11"/>
        <color theme="1"/>
        <rFont val="Calibri"/>
        <family val="2"/>
        <scheme val="minor"/>
      </rPr>
      <t>4</t>
    </r>
  </si>
  <si>
    <t xml:space="preserve">M(T)*F(T) = </t>
  </si>
  <si>
    <t xml:space="preserve">M(F)*F(T) = </t>
  </si>
  <si>
    <t xml:space="preserve">M(T)*F(F) = </t>
  </si>
  <si>
    <t xml:space="preserve">M(F)*F(F) = </t>
  </si>
  <si>
    <t>Minimax Regret</t>
  </si>
  <si>
    <t>Decision Rule</t>
  </si>
  <si>
    <t>㜸〱捤㔸㑤㙣ㅢ挷ㄵ收㉥戹换㕤㤲㤲㔹晦挶㡥㤳戰慥㥢挶㤵捡㠸戶〵㍢〹㡣㐴㈴㉤㔹戰昵㤳㤰戱㑦挱㘲挹㥤ㄵ㌷摡ㅦ㜶㘶㈹㠹敥戵㐰㠱愲㐵捥㐵㉦㐶㔰愰㤷愰扤昵㤰㐳て㌹攴㔰戴挹慤挸㈱㌹愴㠷ㄶ〵㝡挹㈵户㈲晤摥㉣㈹㤳ㄴ摤搸慡ち㜸㙣つ㘷收捤扣㜹昳收扤敦扤搹㤴㤲㑡愵扥㐱愱㕦㉡ㄹ㙡㥣㙦昴㐵捣㠲㜲㉤昲㝤搶㡥扤㈸ㄴ攵㈵捥敤晥ㅤ㑦挴㘹㑣搰㉤て㜴愱㔹挲扢捦っ㙢㠷㜱㠱㐹㕡㉡㘵ㄸ愶ち㍡㌱愱扦攲戰㘳搲慡㐲〶㔵戳㔶摤㘸扤ぢ慥㡤㌸攲㙣扥㜴㌷㔹㝢愳㔲㈹㔷捡㔷ㄷ㉢㤷换ぢ昳愵㕡捦㡦㝢㥣摤〸㔹㉦收戶㍦㕦摡散戵㝣慦㝤㥢昵㥢搱㌶ぢ㙦戰搶挲㤵㤶㝤昵㝡攵敡攲愲晢捡㉢搷ぢ搸㍡戵㔹慢摥㘲㝥ㄷ晣㡥㡡慢づ慥敢戵敡㈶㘷敥㔱昱搴㐸ㄱ㤵㍡㙢㝢愴㌱挶戸ㄷ㙥㤵㙢㔵晣ㅦ搱ち㝡搷捡ㅢ㡤〶ぢ㠵ㄷ㝢㍢㕥摣愷昳㤹挱㐶扢㜵搷昶㝢㑣て愴㐸㐶㜰搷收敢㜶挰㘶㠲户〵㝢换づ户ㄸ昵戴㘰愵攷㌹ㄹ摣㘴晡搲戴㡤〶㑡㉡㙦搴慡戵㡥捤㘳挹㤲㌶㜸㜹摡㙣戹㔳㜹㐴ㄴ戹㐶㡥㤲㝡㤴晣挰㔶攴㥥㈴㘵㤶㉡〳㤵㙥愲㍡㌱戲戲㈴㤷㤶㉡㑡收㙢㔸摣攸挲㍣㘶慡㤶慤㕡㉤搵㙡慢㤶愳㕡㑣戵㕣搵摡㔲慤㡥㙡㜹慡昵慥㙡㙤㘳捥戰ㄸ搹慣㍡㈸扦昸挳㜲昷㝢ㄷ收搶㝥晢攱㠳摢㝦扣昸晥㌷〵攲戵㡥戳㤵搷㔹㝣㐴㠶愰搱㤹ㅥ㕦㤷〵捣搶㠲攴㉡敡㑣戴㑤扡愷搵搰㘱㝢㍡㕡戸扦㐲㔰㡢挲㤸敤挵㜵㍢戶戳挱愶捤㔹ㄸ㥢㤸㌴㈷㔷㈵㉤㕡㌹㈳挷㠶慢㜳㠳ㅥ㌸ㄴ㘵㜳㠴㑢㕥づ㈴㥣ㄴ戸㕥㍡㤳搴㠶㍥捤㤹㙦搹愲ㄳ摢㉤㥦㕤㥣戸㜲搲ㅢ慣散敤搸昳㐵ㄹ㉣㔷㜸搴敢㤲㐶㡦㡡㡦㌴㘴㌲っ㝤〶㤵㠴ㅥ晡挵〶㙦㤸戳昸挹㤹㐴㌴㠹㐸戰㠴ㅦ㤴㈱慤㜰ㅣㅤ㠸㔸㡦〲摢ぢ㡦攸㜲ぢ㈷挰昴捤㠱ㄵ搷戹扤ぢ㡦㝣挸ㅡ㜰㐴晦扥ㅤ㤲㠰㐸敥愲㝢捤慤㔴㥣挵〵晢㡡慤㤱ぢ㍣愹㐷㥤挴㥡㐲㜰捦ぢ㥤㘸㔷扡搸昱〰晥㈳摤愶搹敦㌲㌹㔴㜰㥢㌶摦㘲㜰㕢扥㕡㍦改搶㈲捥㤹㙦挷捣㤱〳㠴搰㘷挶〷挵㌲㡦〲ㅡ㍦㕦戵〵㝢攸扥㜳㙥戲㔱㌵敡㠵㡥㜸㜶㍡戱ㄱ㠳昵戹㐹摡㐳㈶〷㤶㌵〰㘹㑣㐸㐹㥦㥦㕣㈶㡤㝦㘹捦㑢挸捦㑤㤰〱㙡㔱敢搱搴㘵捥㝥扣㑦㍤㈰搱ㄲ挲搴づ㈳晡㠱㔳㈶愴㐴㉥㐰㔰㈴㔸㈸挵㥢ぢ㌶扤昶㌶攳つ㐶㐱㡥㌹昲愸愷㠸挴攰㡦㙤㈶收㌶㐸昵㐰㔵攷挲攸愸㝢㜳㉦㘶昰㘶〷昲㈲摡挴晤㈶㜹搲改戱㈹挹㥥㈰㥣ㅤㅢ㕥㡥摡㍤㐱㕥换㈳㝦㥣戲攴散搸搸搳㔹㡢ㅣ㤶挹愸改㔴㈶㤵愱㠲㌰㥡㑥挳㤵ㄷ㈶ㅣ㔵㠶っ攲㉤㐶戱㜹挴㜲〸㥣慦㍣搶愲㜱昳愲㜵搳㈰㘳㍦晥㉢捦㡣晢㑡昹㉤㘸て㕡昲ㄹ㌹㤲㍡㠹㈸㈳㠲㍥戴ㅡ摡㘴㉡㥥㈶㈷ㅡ搱ㄹ搹㉤捤㝥改搱㐷㤱㙣昷㉤攳晦㍢㔹㔵㑦っ㑥㝦㜳〷㤸㝤换づㅤ㥦昱晦慥㉦㤲挸㈴捦㌶㑦㔱㜵ㅡ㔵㉥愵晤ㄳ攸昶㐸㑤㔲愲愴散㈹㝤㙤搷㜳攲㡥摥㘱摥㔶㈷挶ㄸ昲㉢挳㈰㌵㝦っㅣ㝤て扦ㅦ〱敡㘷㈹挹㌲㥦愱敡㉣慡㕣㉥㤷攰愷㥥㌳㥦㤵晤㔴㠶㤰㜵㥡㤰晢㜱㠰〲㕣敥㑥㘴㍢换㜶ㅢ㜹㔹㜶㤰㤵ㄹ戵㈸攸㈲㍡昱㈲捤慣挱㌶㘱昳㍢㥥挳戸㐱〳つ㘴㝦ㄹ㈴㘵㐲㤷㥥㉤㄰㜶搲㈹㑤换ㅢ搳昶㕡ㅤ昲扡㌸搰攰㘸㜶戹㝡㠰晦扦摥扣晥㍡ㅤ㉣㤷愳㡣挹㍣㑦搵㜳愸㌴搲攴ㄳ㝢挳㌱㉣㍡ㅤ㌴㍡搱敥㉤愸㤲㠹㈴改ㄱ㌵敥挵㘷づづ㈳㡣摡挱㔹㌹扥挲ㄹ〰㤰㌷㠱〳昲㡣戴攲摣㔴㡡㕣㜴㑥ㅡ攳㠸ㅢ捥戹㜷㍤戶㑢攰晤挲㐱ㄲ戲戶㕡㑦挴㤱㡣晡捦ㅦ愴搷愳昵㈸慥㝢愲敢摢晤㡢㔳挸〹攵㕥㠷㠵挰㉥づ〸晢戶㐹㔱户换㥣㈹㌲㌶愲ㅥ㙦戳搵晡搳㠰㝥戸愹愴㈸ㄲ昸ㄴ㐳搱㔵〵攵㜰㡥愷㤰㑢愴㝥㜲昲㜷㉢㕦摥晦改敢㍡攰㔴㠱㠳挰㐵㌴㜲挶挳〰㈴攵㈷㌳㘳㘱昹ㄴ愵摦㙢㜸戲㜸㕤㥦㔵㙤づ挳㡥戸㌰㠳㘱㌳㌱扣㤱㐴㌸昱㤶愷㐱搹㠸㌲㐹㝣㈹㍦ㅡ㕦㐷〴㤷㌶㐸挶㑣㤸愶㥣㥣〸〴昲摣㠴㑥㠷扣㉢敤㙦挰挴㈷ㄴ㠴㕥㤹搹ㅤ㑡慡㉤ぢ㐹㉡㝡㔴ㄴ敤㑢戰㥡㉡ㅦ㐱㙢㈶愴㘷㤲㕣㤵摢づ愳摤㔰㑡慥〹捡㜵㠸愱㤹捤搲㌱㜲昸㤳㘵㜱㘸㌶㈹㡤搰㝢㙥㥡慥㤲㥣㜴晦ㅤ户敡㈰㍣っㅥ㙥〵㝡戸㌵㌹㤳慦㌳㐳㜶愰挲㤹攰㕥挴户㕢㔱戴㑤㉦㠵㔹搹ㄳㅤ挶㘲㝡㐹攵㠳攴㌹㐸㙤搸㝥㍡㍤昶㕡ㅡ攸㥤㠸㤴ㄱ换㙣㔹晦㉥㕡改㘵摥㤶㍤攵ぢ㥣㥦㕥㔹敦㝤㘶晤晥捦㤷扥㔸㝦㄰戳昲㉦摦㝦昱〳攵昳〱攱晣挷晦㜸昰戳摦戸㙢ㅦ摣晦敡攷慦㝤昴昷ㄳㅡ〵㤰挷ち摥㐵㑣㍣收敥㘳㔷搳㡢㝤㤶㜷ㄳ搳愰戶攱〲㡤㤰㔸㌹㔹户搹挱愹敢㌳敥ち昷ㅣ摦ぢㄹ㤹づ㔲㔶㝡㜵摥㘱㕢㐸愲㌶㈳㝡攱㐶攱㡣摢攴㜶㈸㈸搶㠴敤晥昱戱㥥昴ㄶ捤慤㝡愱挰㌶ㄲ㉦愹㝤捣㈵㌸挷捤昵㠲㜰挵敥㡡愷挱㥤攴㐷て愸〷㈵〱㉦㔵㔱㔵挵㔰㡤㐳㝡㐴㑡晦㍥㔸ㄵ㐷㍣昰搵㔲扤㜲つ㘹㤶㉡㠱㑤扤㑣㕢㈵㜸㐶㐰昷昸㌹ㄵ㤹㜹㐱㝥㐶ㄸ㈴扢改㘹㌱㝢㍦改㤳㌹捣㡢㔸愳㔰㑡㈱㝤攴〷㠳〶㜵㡡ㄴ㥥㈹㕡敢㉦愱晡㑥慤㙡㈵收㍢昴〲晤ㄲ㠶㘷㌱㍣㤲搹ㄵ㈹㥡换搴攵㠷㘸挸㉦〶㡡摣㠱㝡昳愸㠶愵㐸㍢㤱摢㥡㍦㐲㌵㤳㔶㘸㍥昹愱㕥愶晥㤲敦㤷㠶㥥㈴昴㤷㘹㘸散换㠶扥㠰愱㝤㤷㉤慤搹摢㜸攰㤵昰攴㘱ㅣ㜵ㅢ〹㍣摥㤲㜱扦戴戳挰㉦㤷昷㝣ㄱ㈸㥦づ㕣㘴扥戲戸晢愷㜷㉥㙣㍣㌸昳搷㘳户㘷㝦㥤㔳㍥ㄹ㄰㈶扦㌹ㄴ㠷攲㙡㈴攱㙢搳攰攱㐰㘲㍢㌷昹㡡戸㠹㔷㐱㥦昴㤱㐶㐶愵㐹愳捦愸慦ㅥ㡥搷㄰愲改摡戴扦㐰敡晦㠱て摤敦㌸挲扥㠰ㄱ昳㉡戱愶㙡ㄲ㘵㈹㈹㕣愶㜳㑣㈴慦昹㍣㘱㙡昳㔷ㅦ扥昱敦㉢敦㉣攵晦〳㔳㠸㝣㠶</t>
  </si>
  <si>
    <t>Weighted CME</t>
  </si>
  <si>
    <t>Scenario Probability</t>
  </si>
  <si>
    <t>Multi-purpose</t>
  </si>
  <si>
    <t>No Program</t>
  </si>
  <si>
    <t>No Fed Program</t>
  </si>
  <si>
    <t>Neither Bill Passes</t>
  </si>
  <si>
    <t>Municipal Only</t>
  </si>
  <si>
    <t>Federal Only</t>
  </si>
  <si>
    <t>Both Bills Pass</t>
  </si>
  <si>
    <t>GreenGear Decision Tree</t>
  </si>
  <si>
    <r>
      <t>Skilled Workers (B</t>
    </r>
    <r>
      <rPr>
        <b/>
        <vertAlign val="subscript"/>
        <sz val="11"/>
        <color theme="1"/>
        <rFont val="Avenir LT Std 55 Roman"/>
        <family val="2"/>
      </rPr>
      <t>1</t>
    </r>
    <r>
      <rPr>
        <b/>
        <sz val="11"/>
        <color theme="1"/>
        <rFont val="Avenir LT Std 55 Roman"/>
        <family val="2"/>
      </rPr>
      <t>)</t>
    </r>
  </si>
  <si>
    <r>
      <t>Unskilled Workers (B</t>
    </r>
    <r>
      <rPr>
        <b/>
        <vertAlign val="subscript"/>
        <sz val="11"/>
        <color theme="1"/>
        <rFont val="Avenir LT Std 55 Roman"/>
        <family val="2"/>
      </rPr>
      <t>2</t>
    </r>
    <r>
      <rPr>
        <b/>
        <sz val="11"/>
        <color theme="1"/>
        <rFont val="Avenir LT Std 55 Roman"/>
        <family val="2"/>
      </rPr>
      <t>)</t>
    </r>
  </si>
  <si>
    <r>
      <t>Employed (A</t>
    </r>
    <r>
      <rPr>
        <i/>
        <vertAlign val="subscript"/>
        <sz val="11"/>
        <color theme="1"/>
        <rFont val="Avenir LT Std 55 Roman"/>
        <family val="2"/>
      </rPr>
      <t>1</t>
    </r>
    <r>
      <rPr>
        <i/>
        <sz val="11"/>
        <color theme="1"/>
        <rFont val="Avenir LT Std 55 Roman"/>
        <family val="2"/>
      </rPr>
      <t>)</t>
    </r>
  </si>
  <si>
    <r>
      <t>Unemployed (A</t>
    </r>
    <r>
      <rPr>
        <i/>
        <vertAlign val="subscript"/>
        <sz val="11"/>
        <color theme="1"/>
        <rFont val="Avenir LT Std 55 Roman"/>
        <family val="2"/>
      </rPr>
      <t>2</t>
    </r>
    <r>
      <rPr>
        <i/>
        <sz val="11"/>
        <color theme="1"/>
        <rFont val="Avenir LT Std 55 Roman"/>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</si>
</sst>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_);[Red]\(&quot;$&quot;#,##0\)"/>
    <numFmt numFmtId="165" formatCode="&quot;$&quot;#,##0.00_);\(&quot;$&quot;#,##0.00\)"/>
    <numFmt numFmtId="166" formatCode="&quot;$&quot;#,##0.00_);[Red]\(&quot;$&quot;#,##0.00\)"/>
    <numFmt numFmtId="167" formatCode="_(&quot;$&quot;* #,##0.00_);_(&quot;$&quot;* \(#,##0.00\);_(&quot;$&quot;* &quot;-&quot;??_);_(@_)"/>
    <numFmt numFmtId="168" formatCode="_(* #,##0.00_);_(* \(#,##0.00\);_(* &quot;-&quot;??_);_(@_)"/>
    <numFmt numFmtId="169" formatCode="0.0%"/>
    <numFmt numFmtId="170" formatCode="&quot;$&quot;#,##0.0_);[Red]\(&quot;$&quot;#,##0.0\)"/>
    <numFmt numFmtId="171" formatCode="&quot;$&quot;#,##0"/>
  </numFmts>
  <fonts count="50">
    <font>
      <sz val="11"/>
      <color theme="1"/>
      <name val="Calibri"/>
      <family val="2"/>
      <scheme val="minor"/>
    </font>
    <font>
      <i/>
      <sz val="11"/>
      <color indexed="8"/>
      <name val="Calibri"/>
      <family val="2"/>
    </font>
    <font>
      <sz val="10"/>
      <name val="Arial"/>
      <family val="2"/>
    </font>
    <font>
      <b/>
      <i/>
      <sz val="11"/>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theme="1"/>
      <name val="Calibri"/>
      <family val="2"/>
      <scheme val="minor"/>
    </font>
    <font>
      <b/>
      <sz val="14"/>
      <color theme="4" tint="-0.249977111117893"/>
      <name val="Calibri"/>
      <family val="2"/>
      <scheme val="minor"/>
    </font>
    <font>
      <b/>
      <i/>
      <sz val="11"/>
      <color theme="1"/>
      <name val="Calibri"/>
      <family val="2"/>
      <scheme val="minor"/>
    </font>
    <font>
      <sz val="20"/>
      <color theme="4" tint="-0.249977111117893"/>
      <name val="Calibri"/>
      <family val="2"/>
      <scheme val="minor"/>
    </font>
    <font>
      <b/>
      <sz val="9"/>
      <color theme="1"/>
      <name val="Calibri"/>
      <family val="2"/>
      <scheme val="minor"/>
    </font>
    <font>
      <b/>
      <sz val="11"/>
      <color rgb="FFFA7D00"/>
      <name val="Calibri"/>
      <family val="2"/>
      <scheme val="minor"/>
    </font>
    <font>
      <sz val="11"/>
      <color theme="1"/>
      <name val="Calibri"/>
      <family val="2"/>
    </font>
    <font>
      <sz val="8"/>
      <name val="Times New Roman"/>
      <family val="1"/>
    </font>
    <font>
      <sz val="11"/>
      <name val="Calibri"/>
      <family val="2"/>
    </font>
    <font>
      <sz val="18"/>
      <color theme="4" tint="-0.249977111117893"/>
      <name val="Calibri"/>
      <family val="2"/>
      <scheme val="minor"/>
    </font>
    <font>
      <b/>
      <i/>
      <sz val="11"/>
      <color rgb="FFFF0000"/>
      <name val="Calibri"/>
      <family val="2"/>
      <scheme val="minor"/>
    </font>
    <font>
      <sz val="8"/>
      <name val="Calibri"/>
      <family val="2"/>
      <scheme val="minor"/>
    </font>
    <font>
      <i/>
      <sz val="11"/>
      <color theme="0" tint="-4.9989318521683403E-2"/>
      <name val="Calibri"/>
      <family val="2"/>
      <scheme val="minor"/>
    </font>
    <font>
      <b/>
      <sz val="11"/>
      <color rgb="FF3F3F3F"/>
      <name val="Calibri"/>
      <family val="2"/>
      <scheme val="minor"/>
    </font>
    <font>
      <sz val="10"/>
      <color theme="0" tint="-0.34998626667073579"/>
      <name val="Calibri"/>
      <family val="2"/>
      <scheme val="minor"/>
    </font>
    <font>
      <i/>
      <sz val="9"/>
      <color theme="1"/>
      <name val="Calibri"/>
      <family val="2"/>
      <scheme val="minor"/>
    </font>
    <font>
      <sz val="9"/>
      <color theme="1"/>
      <name val="Calibri"/>
      <family val="2"/>
    </font>
    <font>
      <b/>
      <sz val="11"/>
      <color theme="9" tint="-0.249977111117893"/>
      <name val="Calibri"/>
      <family val="2"/>
      <scheme val="minor"/>
    </font>
    <font>
      <b/>
      <sz val="11"/>
      <color theme="4" tint="-0.249977111117893"/>
      <name val="Calibri"/>
      <family val="2"/>
      <scheme val="minor"/>
    </font>
    <font>
      <b/>
      <sz val="12"/>
      <color theme="4" tint="-0.499984740745262"/>
      <name val="Calibri"/>
      <family val="2"/>
      <scheme val="minor"/>
    </font>
    <font>
      <sz val="8"/>
      <color theme="0" tint="-0.14999847407452621"/>
      <name val="Calibri"/>
      <family val="2"/>
      <scheme val="minor"/>
    </font>
    <font>
      <sz val="11"/>
      <color theme="0" tint="-4.9989318521683403E-2"/>
      <name val="Calibri"/>
      <family val="2"/>
      <scheme val="minor"/>
    </font>
    <font>
      <sz val="9"/>
      <color theme="1"/>
      <name val="Calibri"/>
      <family val="2"/>
      <scheme val="minor"/>
    </font>
    <font>
      <vertAlign val="subscript"/>
      <sz val="11"/>
      <color theme="1"/>
      <name val="Calibri"/>
      <family val="2"/>
    </font>
    <font>
      <vertAlign val="subscript"/>
      <sz val="11"/>
      <color theme="1"/>
      <name val="Calibri"/>
      <family val="2"/>
      <scheme val="minor"/>
    </font>
    <font>
      <b/>
      <sz val="14"/>
      <color theme="4" tint="-0.249977111117893"/>
      <name val="Avenir LT Std 45 Book"/>
      <family val="2"/>
    </font>
    <font>
      <sz val="12"/>
      <color theme="1"/>
      <name val="Avenir LT Std 45 Book"/>
      <family val="2"/>
    </font>
    <font>
      <sz val="10"/>
      <color theme="1"/>
      <name val="Avenir LT Std 55 Roman"/>
      <family val="2"/>
    </font>
    <font>
      <b/>
      <sz val="10"/>
      <color theme="9" tint="-0.249977111117893"/>
      <name val="Avenir LT Std 55 Roman"/>
      <family val="2"/>
    </font>
    <font>
      <b/>
      <i/>
      <sz val="10"/>
      <color theme="1"/>
      <name val="Avenir LT Std 55 Roman"/>
      <family val="2"/>
    </font>
    <font>
      <b/>
      <sz val="10"/>
      <color theme="1"/>
      <name val="Avenir LT Std 55 Roman"/>
      <family val="2"/>
    </font>
    <font>
      <b/>
      <sz val="10"/>
      <color theme="0"/>
      <name val="Avenir LT Std 55 Roman"/>
      <family val="2"/>
    </font>
    <font>
      <sz val="11"/>
      <color theme="1"/>
      <name val="Avenir LT Std 55 Roman"/>
      <family val="2"/>
    </font>
    <font>
      <b/>
      <sz val="11"/>
      <color theme="9" tint="-0.249977111117893"/>
      <name val="Avenir LT Std 55 Roman"/>
      <family val="2"/>
    </font>
    <font>
      <b/>
      <sz val="11"/>
      <color theme="1"/>
      <name val="Avenir LT Std 55 Roman"/>
      <family val="2"/>
    </font>
    <font>
      <i/>
      <sz val="11"/>
      <color theme="1"/>
      <name val="Avenir LT Std 55 Roman"/>
      <family val="2"/>
    </font>
    <font>
      <b/>
      <sz val="11"/>
      <color theme="1"/>
      <name val="Avenir LT Std 65 Medium"/>
      <family val="2"/>
    </font>
    <font>
      <b/>
      <sz val="14"/>
      <color theme="9" tint="-0.249977111117893"/>
      <name val="Avenir LT Std 55 Roman"/>
      <family val="2"/>
    </font>
    <font>
      <b/>
      <sz val="14"/>
      <color theme="1" tint="0.249977111117893"/>
      <name val="Avenir LT Std 55 Roman"/>
      <family val="2"/>
    </font>
    <font>
      <b/>
      <vertAlign val="subscript"/>
      <sz val="11"/>
      <color theme="1"/>
      <name val="Avenir LT Std 55 Roman"/>
      <family val="2"/>
    </font>
    <font>
      <i/>
      <vertAlign val="subscript"/>
      <sz val="11"/>
      <color theme="1"/>
      <name val="Avenir LT Std 55 Roman"/>
      <family val="2"/>
    </font>
  </fonts>
  <fills count="1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3999450666829432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rgb="FFF2F2F2"/>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0.499984740745262"/>
        <bgColor indexed="64"/>
      </patternFill>
    </fill>
  </fills>
  <borders count="28">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rgb="FF7F7F7F"/>
      </left>
      <right style="thin">
        <color rgb="FF7F7F7F"/>
      </right>
      <top style="thin">
        <color rgb="FF7F7F7F"/>
      </top>
      <bottom style="thin">
        <color rgb="FF7F7F7F"/>
      </bottom>
      <diagonal/>
    </border>
    <border>
      <left style="dashed">
        <color theme="1" tint="0.14996795556505021"/>
      </left>
      <right style="dashed">
        <color theme="1" tint="0.14996795556505021"/>
      </right>
      <top style="dashed">
        <color theme="1" tint="0.14996795556505021"/>
      </top>
      <bottom style="thin">
        <color theme="0" tint="-0.24994659260841701"/>
      </bottom>
      <diagonal/>
    </border>
    <border>
      <left style="dashed">
        <color theme="1" tint="0.14996795556505021"/>
      </left>
      <right style="dashed">
        <color theme="1" tint="0.14996795556505021"/>
      </right>
      <top style="thin">
        <color theme="0" tint="-0.24994659260841701"/>
      </top>
      <bottom style="thin">
        <color theme="0" tint="-0.24994659260841701"/>
      </bottom>
      <diagonal/>
    </border>
    <border>
      <left style="dashed">
        <color theme="1" tint="0.14996795556505021"/>
      </left>
      <right style="dashed">
        <color theme="1" tint="0.14996795556505021"/>
      </right>
      <top style="thin">
        <color theme="0" tint="-0.24994659260841701"/>
      </top>
      <bottom/>
      <diagonal/>
    </border>
    <border>
      <left style="mediumDashed">
        <color theme="1" tint="0.499984740745262"/>
      </left>
      <right style="thin">
        <color theme="0" tint="-0.24994659260841701"/>
      </right>
      <top style="mediumDashed">
        <color theme="1" tint="0.499984740745262"/>
      </top>
      <bottom style="mediumDashed">
        <color theme="1" tint="0.499984740745262"/>
      </bottom>
      <diagonal/>
    </border>
    <border>
      <left style="thin">
        <color theme="0" tint="-0.24994659260841701"/>
      </left>
      <right style="thin">
        <color theme="0" tint="-0.24994659260841701"/>
      </right>
      <top style="mediumDashed">
        <color theme="1" tint="0.499984740745262"/>
      </top>
      <bottom style="mediumDashed">
        <color theme="1" tint="0.499984740745262"/>
      </bottom>
      <diagonal/>
    </border>
    <border>
      <left style="thin">
        <color theme="0" tint="-0.24994659260841701"/>
      </left>
      <right/>
      <top style="mediumDashed">
        <color theme="1" tint="0.499984740745262"/>
      </top>
      <bottom style="mediumDashed">
        <color theme="1" tint="0.499984740745262"/>
      </bottom>
      <diagonal/>
    </border>
    <border>
      <left style="dashed">
        <color theme="1" tint="0.14996795556505021"/>
      </left>
      <right style="mediumDashed">
        <color theme="1" tint="0.499984740745262"/>
      </right>
      <top style="mediumDashed">
        <color theme="1" tint="0.499984740745262"/>
      </top>
      <bottom style="mediumDashed">
        <color theme="1" tint="0.499984740745262"/>
      </bottom>
      <diagonal/>
    </border>
    <border>
      <left style="thin">
        <color theme="0" tint="-0.24994659260841701"/>
      </left>
      <right style="dashed">
        <color theme="1" tint="0.14996795556505021"/>
      </right>
      <top style="thin">
        <color theme="0" tint="-0.24994659260841701"/>
      </top>
      <bottom style="mediumDashed">
        <color theme="1" tint="0.499984740745262"/>
      </bottom>
      <diagonal/>
    </border>
    <border>
      <left style="thin">
        <color theme="0" tint="-0.24994659260841701"/>
      </left>
      <right style="dashed">
        <color theme="1" tint="0.1499679555650502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Dashed">
        <color theme="1" tint="0.499984740745262"/>
      </bottom>
      <diagonal/>
    </border>
    <border>
      <left style="thin">
        <color rgb="FF3F3F3F"/>
      </left>
      <right style="thin">
        <color rgb="FF3F3F3F"/>
      </right>
      <top style="thin">
        <color rgb="FF3F3F3F"/>
      </top>
      <bottom style="thin">
        <color rgb="FF3F3F3F"/>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s>
  <cellStyleXfs count="14">
    <xf numFmtId="0" fontId="0" fillId="0" borderId="0"/>
    <xf numFmtId="0" fontId="4" fillId="2" borderId="0" applyNumberFormat="0" applyBorder="0" applyAlignment="0" applyProtection="0"/>
    <xf numFmtId="0" fontId="4" fillId="3" borderId="0" applyNumberFormat="0" applyBorder="0" applyAlignment="0" applyProtection="0"/>
    <xf numFmtId="168" fontId="4" fillId="0" borderId="0" applyFont="0" applyFill="0" applyBorder="0" applyAlignment="0" applyProtection="0"/>
    <xf numFmtId="167" fontId="4" fillId="0" borderId="0" applyFont="0" applyFill="0" applyBorder="0" applyAlignment="0" applyProtection="0"/>
    <xf numFmtId="0" fontId="7" fillId="4" borderId="0" applyNumberFormat="0" applyAlignment="0" applyProtection="0"/>
    <xf numFmtId="0" fontId="4" fillId="5" borderId="0"/>
    <xf numFmtId="0" fontId="2" fillId="0" borderId="0"/>
    <xf numFmtId="9" fontId="4" fillId="0" borderId="0" applyFont="0" applyFill="0" applyBorder="0" applyAlignment="0" applyProtection="0"/>
    <xf numFmtId="9" fontId="2" fillId="0" borderId="0" applyFont="0" applyFill="0" applyBorder="0" applyAlignment="0" applyProtection="0"/>
    <xf numFmtId="0" fontId="14" fillId="7" borderId="13" applyNumberFormat="0" applyAlignment="0" applyProtection="0"/>
    <xf numFmtId="0" fontId="16" fillId="0" borderId="0"/>
    <xf numFmtId="0" fontId="22" fillId="7" borderId="24" applyNumberFormat="0" applyAlignment="0" applyProtection="0"/>
    <xf numFmtId="0" fontId="5" fillId="10" borderId="0" applyNumberFormat="0" applyBorder="0" applyAlignment="0" applyProtection="0"/>
  </cellStyleXfs>
  <cellXfs count="378">
    <xf numFmtId="0" fontId="0" fillId="0" borderId="0" xfId="0"/>
    <xf numFmtId="164" fontId="0" fillId="0" borderId="0" xfId="0" applyNumberFormat="1" applyAlignment="1">
      <alignment horizontal="center"/>
    </xf>
    <xf numFmtId="9" fontId="0" fillId="0" borderId="0" xfId="0" applyNumberFormat="1" applyAlignment="1">
      <alignment horizontal="center"/>
    </xf>
    <xf numFmtId="4" fontId="0" fillId="0" borderId="0" xfId="0" applyNumberFormat="1"/>
    <xf numFmtId="166" fontId="0" fillId="0" borderId="0" xfId="0" applyNumberFormat="1"/>
    <xf numFmtId="0" fontId="9" fillId="0" borderId="0" xfId="0" applyFont="1"/>
    <xf numFmtId="0" fontId="8" fillId="0" borderId="0" xfId="0" applyFont="1"/>
    <xf numFmtId="0" fontId="8" fillId="0" borderId="0" xfId="0" applyFont="1" applyAlignment="1">
      <alignment horizontal="center"/>
    </xf>
    <xf numFmtId="0" fontId="0" fillId="0" borderId="0" xfId="0" applyAlignment="1">
      <alignment horizontal="center"/>
    </xf>
    <xf numFmtId="0" fontId="0" fillId="0" borderId="0" xfId="0" applyAlignment="1">
      <alignment horizontal="center" vertical="center"/>
    </xf>
    <xf numFmtId="166" fontId="0" fillId="0" borderId="1" xfId="0" applyNumberFormat="1" applyBorder="1" applyAlignment="1">
      <alignment horizontal="center" vertical="center"/>
    </xf>
    <xf numFmtId="0" fontId="0" fillId="0" borderId="0" xfId="0" applyAlignment="1">
      <alignment vertical="center"/>
    </xf>
    <xf numFmtId="0" fontId="0" fillId="0" borderId="0" xfId="0" applyAlignment="1">
      <alignment horizontal="left" indent="1"/>
    </xf>
    <xf numFmtId="9" fontId="0" fillId="0" borderId="1" xfId="0" applyNumberFormat="1" applyBorder="1" applyAlignment="1">
      <alignment horizontal="center" vertical="center"/>
    </xf>
    <xf numFmtId="166" fontId="8" fillId="0" borderId="0" xfId="0" applyNumberFormat="1" applyFont="1" applyAlignment="1">
      <alignment horizontal="center"/>
    </xf>
    <xf numFmtId="9" fontId="8" fillId="0" borderId="0" xfId="0" applyNumberFormat="1" applyFont="1" applyAlignment="1">
      <alignment horizontal="center"/>
    </xf>
    <xf numFmtId="166" fontId="8" fillId="0" borderId="1" xfId="0" applyNumberFormat="1" applyFont="1" applyBorder="1" applyAlignment="1">
      <alignment horizontal="center" vertical="center"/>
    </xf>
    <xf numFmtId="0" fontId="8" fillId="0" borderId="2" xfId="0" applyFont="1" applyBorder="1" applyAlignment="1">
      <alignment vertical="center"/>
    </xf>
    <xf numFmtId="0" fontId="0" fillId="0" borderId="3" xfId="0" applyBorder="1" applyAlignment="1">
      <alignment vertical="center"/>
    </xf>
    <xf numFmtId="0" fontId="8" fillId="0" borderId="4" xfId="0" applyFont="1" applyBorder="1"/>
    <xf numFmtId="0" fontId="0" fillId="0" borderId="5" xfId="0" applyBorder="1"/>
    <xf numFmtId="0" fontId="0" fillId="0" borderId="4" xfId="0" applyBorder="1"/>
    <xf numFmtId="0" fontId="0" fillId="0" borderId="6" xfId="0" applyBorder="1"/>
    <xf numFmtId="0" fontId="0" fillId="0" borderId="7" xfId="0" applyBorder="1"/>
    <xf numFmtId="0" fontId="0" fillId="0" borderId="8" xfId="0" applyBorder="1"/>
    <xf numFmtId="0" fontId="8" fillId="0" borderId="4" xfId="0" applyFont="1" applyBorder="1" applyAlignment="1">
      <alignment vertical="center"/>
    </xf>
    <xf numFmtId="0" fontId="0" fillId="0" borderId="4" xfId="0" applyBorder="1" applyAlignment="1">
      <alignment vertical="center"/>
    </xf>
    <xf numFmtId="0" fontId="9" fillId="0" borderId="0" xfId="0" applyFont="1" applyAlignment="1">
      <alignment vertical="center"/>
    </xf>
    <xf numFmtId="0" fontId="0" fillId="0" borderId="3" xfId="0" applyBorder="1"/>
    <xf numFmtId="0" fontId="8" fillId="0" borderId="12" xfId="0" applyFont="1" applyBorder="1" applyAlignment="1">
      <alignment horizontal="center"/>
    </xf>
    <xf numFmtId="0" fontId="0" fillId="0" borderId="4" xfId="0" applyBorder="1" applyAlignment="1">
      <alignment horizontal="left" indent="1"/>
    </xf>
    <xf numFmtId="0" fontId="8" fillId="0" borderId="2" xfId="0" applyFont="1" applyBorder="1"/>
    <xf numFmtId="166" fontId="0" fillId="0" borderId="5" xfId="0" applyNumberFormat="1" applyBorder="1" applyAlignment="1">
      <alignment horizontal="center"/>
    </xf>
    <xf numFmtId="166" fontId="0" fillId="0" borderId="8" xfId="0" applyNumberFormat="1" applyBorder="1" applyAlignment="1">
      <alignment horizontal="center"/>
    </xf>
    <xf numFmtId="166" fontId="8" fillId="0" borderId="5" xfId="0" applyNumberFormat="1" applyFont="1" applyBorder="1" applyAlignment="1">
      <alignment horizontal="center"/>
    </xf>
    <xf numFmtId="0" fontId="9" fillId="0" borderId="4" xfId="0" applyFont="1" applyBorder="1"/>
    <xf numFmtId="166" fontId="9" fillId="0" borderId="12" xfId="0" applyNumberFormat="1" applyFont="1" applyBorder="1" applyAlignment="1">
      <alignment horizontal="left" vertical="center"/>
    </xf>
    <xf numFmtId="166" fontId="9" fillId="0" borderId="5" xfId="0" applyNumberFormat="1" applyFont="1" applyBorder="1" applyAlignment="1">
      <alignment horizontal="left" vertical="top"/>
    </xf>
    <xf numFmtId="166" fontId="9" fillId="0" borderId="5" xfId="0" applyNumberFormat="1" applyFont="1" applyBorder="1" applyAlignment="1">
      <alignment horizontal="left"/>
    </xf>
    <xf numFmtId="166" fontId="9" fillId="0" borderId="5" xfId="0" applyNumberFormat="1" applyFont="1" applyBorder="1" applyAlignment="1">
      <alignment horizontal="left" vertical="center"/>
    </xf>
    <xf numFmtId="0" fontId="9" fillId="0" borderId="5" xfId="0" applyFont="1" applyBorder="1" applyAlignment="1">
      <alignment horizontal="left" vertical="center"/>
    </xf>
    <xf numFmtId="0" fontId="0" fillId="0" borderId="0" xfId="0" quotePrefix="1"/>
    <xf numFmtId="164" fontId="14" fillId="7" borderId="13" xfId="10" applyNumberFormat="1" applyAlignment="1">
      <alignment horizontal="center"/>
    </xf>
    <xf numFmtId="0" fontId="0" fillId="0" borderId="0" xfId="0" applyAlignment="1">
      <alignment horizontal="left"/>
    </xf>
    <xf numFmtId="0" fontId="17" fillId="0" borderId="0" xfId="11" applyFont="1" applyProtection="1">
      <protection locked="0" hidden="1"/>
    </xf>
    <xf numFmtId="0" fontId="17" fillId="0" borderId="0" xfId="11" applyFont="1"/>
    <xf numFmtId="0" fontId="18" fillId="0" borderId="0" xfId="0" applyFont="1"/>
    <xf numFmtId="166" fontId="19" fillId="0" borderId="1" xfId="0" applyNumberFormat="1" applyFont="1" applyBorder="1" applyAlignment="1">
      <alignment horizontal="center" vertical="center"/>
    </xf>
    <xf numFmtId="164" fontId="0" fillId="0" borderId="0" xfId="0" applyNumberFormat="1"/>
    <xf numFmtId="9" fontId="14" fillId="7" borderId="13" xfId="10" applyNumberFormat="1"/>
    <xf numFmtId="164" fontId="14" fillId="7" borderId="13" xfId="10" applyNumberFormat="1"/>
    <xf numFmtId="164" fontId="0" fillId="6" borderId="0" xfId="0" applyNumberFormat="1" applyFill="1"/>
    <xf numFmtId="164" fontId="0" fillId="9" borderId="0" xfId="0" applyNumberFormat="1" applyFill="1" applyAlignment="1">
      <alignment horizontal="center"/>
    </xf>
    <xf numFmtId="10" fontId="8" fillId="9" borderId="0" xfId="0" applyNumberFormat="1" applyFont="1" applyFill="1" applyAlignment="1">
      <alignment horizontal="center"/>
    </xf>
    <xf numFmtId="0" fontId="11" fillId="0" borderId="0" xfId="0" applyFont="1" applyAlignment="1">
      <alignment horizontal="center" wrapText="1"/>
    </xf>
    <xf numFmtId="0" fontId="21" fillId="0" borderId="0" xfId="0" applyFont="1"/>
    <xf numFmtId="164" fontId="21" fillId="0" borderId="0" xfId="0" applyNumberFormat="1" applyFont="1"/>
    <xf numFmtId="169" fontId="8" fillId="9" borderId="0" xfId="0" applyNumberFormat="1" applyFont="1" applyFill="1" applyAlignment="1">
      <alignment horizontal="center"/>
    </xf>
    <xf numFmtId="0" fontId="8" fillId="0" borderId="0" xfId="0" applyFont="1" applyAlignment="1">
      <alignment horizontal="right"/>
    </xf>
    <xf numFmtId="10" fontId="14" fillId="7" borderId="13" xfId="10" applyNumberFormat="1"/>
    <xf numFmtId="9" fontId="0" fillId="0" borderId="0" xfId="0" applyNumberFormat="1" applyAlignment="1">
      <alignment horizontal="left"/>
    </xf>
    <xf numFmtId="166" fontId="0" fillId="0" borderId="0" xfId="0" applyNumberFormat="1" applyAlignment="1">
      <alignment horizontal="center"/>
    </xf>
    <xf numFmtId="9" fontId="8" fillId="9" borderId="0" xfId="0" applyNumberFormat="1" applyFont="1" applyFill="1" applyAlignment="1">
      <alignment horizontal="center"/>
    </xf>
    <xf numFmtId="0" fontId="24" fillId="0" borderId="0" xfId="0" quotePrefix="1" applyFont="1" applyAlignment="1">
      <alignment horizontal="left"/>
    </xf>
    <xf numFmtId="165" fontId="0" fillId="0" borderId="0" xfId="0" applyNumberFormat="1" applyAlignment="1">
      <alignment horizontal="center"/>
    </xf>
    <xf numFmtId="170" fontId="0" fillId="0" borderId="0" xfId="0" applyNumberFormat="1"/>
    <xf numFmtId="0" fontId="11" fillId="0" borderId="0" xfId="0" applyFont="1"/>
    <xf numFmtId="166" fontId="8" fillId="0" borderId="0" xfId="0" applyNumberFormat="1" applyFont="1"/>
    <xf numFmtId="0" fontId="8" fillId="0" borderId="3" xfId="0" applyFont="1" applyBorder="1"/>
    <xf numFmtId="0" fontId="0" fillId="0" borderId="5"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164" fontId="8" fillId="0" borderId="0" xfId="0" applyNumberFormat="1" applyFont="1" applyAlignment="1">
      <alignment horizontal="center"/>
    </xf>
    <xf numFmtId="171" fontId="0" fillId="0" borderId="0" xfId="0" applyNumberFormat="1" applyAlignment="1">
      <alignment horizontal="center"/>
    </xf>
    <xf numFmtId="171" fontId="0" fillId="0" borderId="0" xfId="0" applyNumberFormat="1"/>
    <xf numFmtId="171" fontId="23" fillId="0" borderId="0" xfId="0" applyNumberFormat="1" applyFont="1" applyAlignment="1">
      <alignment horizontal="center"/>
    </xf>
    <xf numFmtId="171" fontId="8" fillId="0" borderId="2" xfId="0" applyNumberFormat="1" applyFont="1" applyBorder="1"/>
    <xf numFmtId="171" fontId="8" fillId="0" borderId="3" xfId="0" applyNumberFormat="1" applyFont="1" applyBorder="1"/>
    <xf numFmtId="171" fontId="0" fillId="0" borderId="3" xfId="0" applyNumberFormat="1" applyBorder="1" applyAlignment="1">
      <alignment horizontal="center"/>
    </xf>
    <xf numFmtId="171" fontId="0" fillId="0" borderId="12" xfId="0" applyNumberFormat="1" applyBorder="1" applyAlignment="1">
      <alignment horizontal="center"/>
    </xf>
    <xf numFmtId="171" fontId="0" fillId="0" borderId="4" xfId="0" applyNumberFormat="1" applyBorder="1"/>
    <xf numFmtId="171" fontId="0" fillId="0" borderId="5" xfId="0" applyNumberFormat="1" applyBorder="1" applyAlignment="1">
      <alignment horizontal="center"/>
    </xf>
    <xf numFmtId="171" fontId="9" fillId="0" borderId="4" xfId="0" quotePrefix="1" applyNumberFormat="1" applyFont="1" applyBorder="1" applyAlignment="1">
      <alignment horizontal="left"/>
    </xf>
    <xf numFmtId="171" fontId="0" fillId="0" borderId="6" xfId="0" applyNumberFormat="1" applyBorder="1" applyAlignment="1">
      <alignment horizontal="center"/>
    </xf>
    <xf numFmtId="171" fontId="0" fillId="0" borderId="7" xfId="0" applyNumberFormat="1" applyBorder="1" applyAlignment="1">
      <alignment horizontal="center"/>
    </xf>
    <xf numFmtId="171" fontId="0" fillId="0" borderId="8" xfId="0" applyNumberFormat="1" applyBorder="1" applyAlignment="1">
      <alignment horizontal="center"/>
    </xf>
    <xf numFmtId="171" fontId="23" fillId="0" borderId="0" xfId="3" applyNumberFormat="1" applyFont="1" applyAlignment="1">
      <alignment horizontal="center"/>
    </xf>
    <xf numFmtId="171" fontId="8" fillId="6" borderId="0" xfId="0" applyNumberFormat="1" applyFont="1" applyFill="1" applyAlignment="1">
      <alignment horizontal="center" wrapText="1"/>
    </xf>
    <xf numFmtId="171" fontId="8" fillId="9" borderId="0" xfId="0" applyNumberFormat="1" applyFont="1" applyFill="1" applyAlignment="1">
      <alignment horizontal="center"/>
    </xf>
    <xf numFmtId="171" fontId="8" fillId="11" borderId="0" xfId="0" applyNumberFormat="1" applyFont="1" applyFill="1" applyAlignment="1">
      <alignment horizontal="center" wrapText="1"/>
    </xf>
    <xf numFmtId="171" fontId="8" fillId="0" borderId="0" xfId="4" applyNumberFormat="1" applyFont="1" applyAlignment="1">
      <alignment horizontal="center" wrapText="1"/>
    </xf>
    <xf numFmtId="171" fontId="8" fillId="0" borderId="0" xfId="0" applyNumberFormat="1" applyFont="1" applyAlignment="1">
      <alignment horizontal="center"/>
    </xf>
    <xf numFmtId="169" fontId="8" fillId="0" borderId="0" xfId="8" applyNumberFormat="1" applyFont="1" applyFill="1" applyAlignment="1">
      <alignment horizontal="center"/>
    </xf>
    <xf numFmtId="169" fontId="0" fillId="0" borderId="0" xfId="8" applyNumberFormat="1" applyFont="1" applyFill="1" applyAlignment="1">
      <alignment horizontal="center"/>
    </xf>
    <xf numFmtId="169" fontId="8" fillId="0" borderId="0" xfId="8" applyNumberFormat="1" applyFont="1" applyFill="1"/>
    <xf numFmtId="0" fontId="27" fillId="0" borderId="0" xfId="0" applyFont="1"/>
    <xf numFmtId="171" fontId="0" fillId="0" borderId="0" xfId="0" quotePrefix="1" applyNumberFormat="1"/>
    <xf numFmtId="171" fontId="8" fillId="12" borderId="0" xfId="0" applyNumberFormat="1" applyFont="1" applyFill="1" applyAlignment="1">
      <alignment horizontal="center" wrapText="1"/>
    </xf>
    <xf numFmtId="171" fontId="8" fillId="13" borderId="0" xfId="0" applyNumberFormat="1" applyFont="1" applyFill="1" applyAlignment="1">
      <alignment horizontal="center" wrapText="1"/>
    </xf>
    <xf numFmtId="171" fontId="8" fillId="14" borderId="0" xfId="0" applyNumberFormat="1" applyFont="1" applyFill="1" applyAlignment="1">
      <alignment horizontal="center" wrapText="1"/>
    </xf>
    <xf numFmtId="164" fontId="8" fillId="0" borderId="0" xfId="0" applyNumberFormat="1" applyFont="1"/>
    <xf numFmtId="164" fontId="6" fillId="10" borderId="0" xfId="13" applyNumberFormat="1" applyFont="1"/>
    <xf numFmtId="171" fontId="8" fillId="0" borderId="0" xfId="0" applyNumberFormat="1" applyFont="1"/>
    <xf numFmtId="171" fontId="11" fillId="0" borderId="0" xfId="0" applyNumberFormat="1" applyFont="1"/>
    <xf numFmtId="9" fontId="26" fillId="9" borderId="0" xfId="0" applyNumberFormat="1" applyFont="1" applyFill="1" applyAlignment="1">
      <alignment horizontal="center"/>
    </xf>
    <xf numFmtId="164" fontId="0" fillId="12" borderId="0" xfId="0" applyNumberFormat="1" applyFill="1" applyAlignment="1">
      <alignment horizontal="left"/>
    </xf>
    <xf numFmtId="171" fontId="10" fillId="0" borderId="0" xfId="0" applyNumberFormat="1" applyFont="1" applyAlignment="1">
      <alignment vertical="center"/>
    </xf>
    <xf numFmtId="169" fontId="0" fillId="0" borderId="0" xfId="0" applyNumberFormat="1" applyAlignment="1">
      <alignment horizontal="center"/>
    </xf>
    <xf numFmtId="4" fontId="0" fillId="0" borderId="0" xfId="0" applyNumberFormat="1" applyAlignment="1">
      <alignment horizontal="center"/>
    </xf>
    <xf numFmtId="171" fontId="9" fillId="0" borderId="1" xfId="0" applyNumberFormat="1" applyFont="1" applyBorder="1" applyAlignment="1">
      <alignment horizontal="center"/>
    </xf>
    <xf numFmtId="9" fontId="0" fillId="0" borderId="1" xfId="0" applyNumberFormat="1" applyBorder="1" applyAlignment="1">
      <alignment horizontal="center"/>
    </xf>
    <xf numFmtId="171" fontId="0" fillId="0" borderId="1" xfId="0" applyNumberFormat="1" applyBorder="1" applyAlignment="1">
      <alignment horizontal="center"/>
    </xf>
    <xf numFmtId="171" fontId="9" fillId="0" borderId="27" xfId="0" applyNumberFormat="1" applyFont="1" applyBorder="1" applyAlignment="1">
      <alignment horizontal="center"/>
    </xf>
    <xf numFmtId="171" fontId="0" fillId="0" borderId="27" xfId="0" applyNumberFormat="1" applyBorder="1" applyAlignment="1">
      <alignment horizontal="center"/>
    </xf>
    <xf numFmtId="0" fontId="0" fillId="0" borderId="27" xfId="0" applyBorder="1"/>
    <xf numFmtId="171" fontId="8" fillId="0" borderId="27" xfId="0" applyNumberFormat="1" applyFont="1" applyBorder="1"/>
    <xf numFmtId="169" fontId="0" fillId="0" borderId="27" xfId="8" applyNumberFormat="1" applyFont="1" applyBorder="1" applyAlignment="1">
      <alignment horizontal="center"/>
    </xf>
    <xf numFmtId="164" fontId="0" fillId="0" borderId="27" xfId="0" applyNumberFormat="1" applyBorder="1" applyAlignment="1">
      <alignment horizontal="center"/>
    </xf>
    <xf numFmtId="0" fontId="8" fillId="0" borderId="1" xfId="0" applyFont="1" applyBorder="1"/>
    <xf numFmtId="171" fontId="8" fillId="0" borderId="1" xfId="0" applyNumberFormat="1" applyFont="1" applyBorder="1" applyAlignment="1">
      <alignment horizontal="center"/>
    </xf>
    <xf numFmtId="171" fontId="8" fillId="0" borderId="25" xfId="0" applyNumberFormat="1" applyFont="1" applyBorder="1"/>
    <xf numFmtId="171" fontId="0" fillId="0" borderId="25" xfId="0" applyNumberFormat="1" applyBorder="1" applyAlignment="1">
      <alignment horizontal="center"/>
    </xf>
    <xf numFmtId="169" fontId="0" fillId="0" borderId="25" xfId="0" applyNumberFormat="1" applyBorder="1" applyAlignment="1">
      <alignment horizontal="center"/>
    </xf>
    <xf numFmtId="164" fontId="0" fillId="0" borderId="25" xfId="0" applyNumberFormat="1" applyBorder="1" applyAlignment="1">
      <alignment horizontal="center"/>
    </xf>
    <xf numFmtId="164" fontId="8" fillId="0" borderId="25" xfId="0" applyNumberFormat="1" applyFont="1" applyBorder="1" applyAlignment="1">
      <alignment horizontal="center"/>
    </xf>
    <xf numFmtId="0" fontId="12" fillId="0" borderId="0" xfId="0" applyFont="1"/>
    <xf numFmtId="0" fontId="28" fillId="0" borderId="0" xfId="0" applyFont="1" applyAlignment="1">
      <alignment vertical="center"/>
    </xf>
    <xf numFmtId="0" fontId="8" fillId="8" borderId="0" xfId="2" applyFont="1" applyFill="1" applyAlignment="1">
      <alignment horizontal="center"/>
    </xf>
    <xf numFmtId="164" fontId="0" fillId="0" borderId="1" xfId="0" applyNumberFormat="1" applyBorder="1" applyAlignment="1">
      <alignment horizontal="center" vertical="center"/>
    </xf>
    <xf numFmtId="0" fontId="11" fillId="9" borderId="0" xfId="1" applyFont="1" applyFill="1"/>
    <xf numFmtId="0" fontId="11" fillId="8" borderId="0" xfId="2" applyFont="1" applyFill="1" applyAlignment="1">
      <alignment horizontal="center"/>
    </xf>
    <xf numFmtId="0" fontId="9" fillId="9" borderId="0" xfId="1" applyFont="1" applyFill="1" applyAlignment="1">
      <alignment horizontal="left" vertical="center" indent="1"/>
    </xf>
    <xf numFmtId="0" fontId="9" fillId="0" borderId="0" xfId="0" quotePrefix="1" applyFont="1" applyAlignment="1">
      <alignment vertical="center"/>
    </xf>
    <xf numFmtId="0" fontId="11" fillId="8" borderId="0" xfId="2" applyFont="1" applyFill="1" applyAlignment="1"/>
    <xf numFmtId="0" fontId="29" fillId="0" borderId="0" xfId="0" applyFont="1"/>
    <xf numFmtId="0" fontId="0" fillId="0" borderId="0" xfId="0" applyAlignment="1">
      <alignment vertical="top"/>
    </xf>
    <xf numFmtId="9" fontId="8" fillId="0" borderId="1" xfId="0" applyNumberFormat="1" applyFont="1" applyBorder="1" applyAlignment="1">
      <alignment horizontal="center" vertical="center"/>
    </xf>
    <xf numFmtId="0" fontId="8" fillId="0" borderId="25" xfId="0" applyFont="1" applyBorder="1" applyAlignment="1">
      <alignment horizontal="center" vertical="center" wrapText="1"/>
    </xf>
    <xf numFmtId="0" fontId="0" fillId="0" borderId="1" xfId="0" applyBorder="1" applyAlignment="1">
      <alignment horizontal="center" vertical="center" wrapText="1"/>
    </xf>
    <xf numFmtId="0" fontId="8" fillId="0" borderId="26" xfId="0" applyFont="1" applyBorder="1" applyAlignment="1">
      <alignment horizontal="center" vertical="center" wrapText="1"/>
    </xf>
    <xf numFmtId="0" fontId="9" fillId="0" borderId="1" xfId="0" applyFont="1" applyBorder="1" applyAlignment="1">
      <alignment vertical="center" wrapText="1"/>
    </xf>
    <xf numFmtId="0" fontId="8" fillId="8" borderId="0" xfId="0" applyFont="1" applyFill="1" applyAlignment="1">
      <alignment vertical="center" wrapText="1"/>
    </xf>
    <xf numFmtId="9" fontId="0" fillId="8" borderId="0" xfId="0" applyNumberFormat="1" applyFill="1"/>
    <xf numFmtId="9" fontId="0" fillId="0" borderId="1" xfId="0" applyNumberFormat="1" applyBorder="1" applyAlignment="1">
      <alignment horizontal="center" vertical="center" wrapText="1"/>
    </xf>
    <xf numFmtId="0" fontId="11" fillId="9" borderId="0" xfId="1" applyFont="1" applyFill="1" applyAlignment="1">
      <alignment wrapText="1"/>
    </xf>
    <xf numFmtId="0" fontId="0" fillId="15" borderId="0" xfId="0" applyFill="1"/>
    <xf numFmtId="0" fontId="1" fillId="0" borderId="0" xfId="0" applyFont="1" applyAlignment="1">
      <alignment vertical="center"/>
    </xf>
    <xf numFmtId="0" fontId="9" fillId="9" borderId="0" xfId="1" applyFont="1" applyFill="1" applyAlignment="1">
      <alignment horizontal="left" vertical="center" wrapText="1" indent="1"/>
    </xf>
    <xf numFmtId="166" fontId="4" fillId="0" borderId="1" xfId="4" applyNumberFormat="1" applyFont="1" applyBorder="1" applyAlignment="1">
      <alignment horizontal="center" vertical="center"/>
    </xf>
    <xf numFmtId="0" fontId="24" fillId="0" borderId="0" xfId="0" applyFont="1"/>
    <xf numFmtId="0" fontId="8" fillId="0" borderId="3" xfId="0" applyFont="1" applyBorder="1" applyAlignment="1">
      <alignment horizontal="center"/>
    </xf>
    <xf numFmtId="0" fontId="14" fillId="7" borderId="13" xfId="10"/>
    <xf numFmtId="9" fontId="0" fillId="0" borderId="5" xfId="0" applyNumberFormat="1" applyBorder="1" applyAlignment="1">
      <alignment horizontal="center"/>
    </xf>
    <xf numFmtId="0" fontId="8" fillId="0" borderId="6" xfId="0" applyFont="1" applyBorder="1"/>
    <xf numFmtId="9" fontId="0" fillId="0" borderId="7" xfId="0" applyNumberFormat="1" applyBorder="1" applyAlignment="1">
      <alignment horizontal="center"/>
    </xf>
    <xf numFmtId="9" fontId="0" fillId="0" borderId="8" xfId="0" applyNumberFormat="1" applyBorder="1" applyAlignment="1">
      <alignment horizontal="center"/>
    </xf>
    <xf numFmtId="0" fontId="0" fillId="0" borderId="2" xfId="0" applyBorder="1"/>
    <xf numFmtId="0" fontId="8" fillId="0" borderId="3" xfId="0" applyFont="1" applyBorder="1" applyAlignment="1">
      <alignment horizontal="center" wrapText="1"/>
    </xf>
    <xf numFmtId="3" fontId="0" fillId="0" borderId="0" xfId="3" applyNumberFormat="1" applyFont="1" applyBorder="1" applyAlignment="1">
      <alignment horizontal="center"/>
    </xf>
    <xf numFmtId="3" fontId="0" fillId="0" borderId="5" xfId="3" applyNumberFormat="1" applyFont="1" applyBorder="1" applyAlignment="1">
      <alignment horizontal="center"/>
    </xf>
    <xf numFmtId="164" fontId="0" fillId="0" borderId="5" xfId="0" applyNumberFormat="1" applyBorder="1" applyAlignment="1">
      <alignment horizontal="center"/>
    </xf>
    <xf numFmtId="166" fontId="0" fillId="0" borderId="7" xfId="0" applyNumberFormat="1" applyBorder="1" applyAlignment="1">
      <alignment horizontal="center"/>
    </xf>
    <xf numFmtId="0" fontId="8" fillId="8" borderId="3" xfId="0" applyFont="1" applyFill="1" applyBorder="1" applyAlignment="1">
      <alignment horizontal="center"/>
    </xf>
    <xf numFmtId="0" fontId="8" fillId="8" borderId="12" xfId="0" applyFont="1" applyFill="1" applyBorder="1" applyAlignment="1">
      <alignment horizontal="center"/>
    </xf>
    <xf numFmtId="0" fontId="8" fillId="9" borderId="4" xfId="0" applyFont="1" applyFill="1" applyBorder="1"/>
    <xf numFmtId="164" fontId="8" fillId="8" borderId="5" xfId="0" applyNumberFormat="1" applyFont="1" applyFill="1" applyBorder="1" applyAlignment="1">
      <alignment horizontal="center"/>
    </xf>
    <xf numFmtId="0" fontId="0" fillId="9" borderId="4" xfId="0" applyFill="1" applyBorder="1"/>
    <xf numFmtId="3" fontId="0" fillId="0" borderId="5" xfId="0" applyNumberFormat="1" applyBorder="1" applyAlignment="1">
      <alignment horizontal="center"/>
    </xf>
    <xf numFmtId="0" fontId="0" fillId="9" borderId="6" xfId="0" applyFill="1" applyBorder="1"/>
    <xf numFmtId="3" fontId="0" fillId="0" borderId="7" xfId="0" applyNumberFormat="1" applyBorder="1" applyAlignment="1">
      <alignment horizontal="center"/>
    </xf>
    <xf numFmtId="3" fontId="0" fillId="0" borderId="8" xfId="0" applyNumberFormat="1" applyBorder="1" applyAlignment="1">
      <alignment horizontal="center"/>
    </xf>
    <xf numFmtId="164" fontId="0" fillId="0" borderId="7" xfId="0" applyNumberFormat="1" applyBorder="1" applyAlignment="1">
      <alignment horizontal="center"/>
    </xf>
    <xf numFmtId="164" fontId="0" fillId="0" borderId="8" xfId="0" applyNumberFormat="1" applyBorder="1" applyAlignment="1">
      <alignment horizontal="center"/>
    </xf>
    <xf numFmtId="0" fontId="0" fillId="0" borderId="12" xfId="0" applyBorder="1"/>
    <xf numFmtId="164" fontId="0" fillId="0" borderId="4" xfId="0" applyNumberFormat="1" applyBorder="1" applyAlignment="1">
      <alignment horizontal="center" vertical="center"/>
    </xf>
    <xf numFmtId="9" fontId="26" fillId="9" borderId="5" xfId="0" applyNumberFormat="1" applyFont="1" applyFill="1" applyBorder="1" applyAlignment="1">
      <alignment horizontal="center"/>
    </xf>
    <xf numFmtId="9" fontId="14" fillId="7" borderId="13" xfId="10" applyNumberFormat="1" applyAlignment="1">
      <alignment horizontal="center"/>
    </xf>
    <xf numFmtId="0" fontId="0" fillId="0" borderId="4" xfId="0" applyBorder="1" applyAlignment="1">
      <alignment horizontal="center"/>
    </xf>
    <xf numFmtId="0" fontId="9" fillId="0" borderId="0" xfId="0" applyFont="1" applyAlignment="1">
      <alignment horizontal="right"/>
    </xf>
    <xf numFmtId="0" fontId="8" fillId="9" borderId="2" xfId="0" applyFont="1" applyFill="1" applyBorder="1" applyAlignment="1">
      <alignment vertical="center"/>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164" fontId="0" fillId="0" borderId="4" xfId="0" applyNumberFormat="1" applyBorder="1" applyAlignment="1">
      <alignment horizontal="center"/>
    </xf>
    <xf numFmtId="164" fontId="0" fillId="0" borderId="6" xfId="0" applyNumberFormat="1" applyBorder="1" applyAlignment="1">
      <alignment horizontal="center"/>
    </xf>
    <xf numFmtId="164" fontId="0" fillId="0" borderId="5" xfId="0" applyNumberFormat="1" applyBorder="1" applyAlignment="1">
      <alignment horizontal="center" vertical="center"/>
    </xf>
    <xf numFmtId="164" fontId="30" fillId="0" borderId="0" xfId="0" applyNumberFormat="1" applyFont="1"/>
    <xf numFmtId="4" fontId="30" fillId="0" borderId="0" xfId="0" applyNumberFormat="1" applyFont="1"/>
    <xf numFmtId="166" fontId="9" fillId="0" borderId="8" xfId="0" applyNumberFormat="1" applyFont="1" applyBorder="1" applyAlignment="1">
      <alignment horizontal="center"/>
    </xf>
    <xf numFmtId="0" fontId="9" fillId="9" borderId="0" xfId="0" applyFont="1" applyFill="1"/>
    <xf numFmtId="164" fontId="0" fillId="0" borderId="0" xfId="0" applyNumberFormat="1" applyAlignment="1">
      <alignment horizontal="right"/>
    </xf>
    <xf numFmtId="0" fontId="8" fillId="0" borderId="4" xfId="0" applyFont="1" applyBorder="1" applyAlignment="1">
      <alignment horizontal="right"/>
    </xf>
    <xf numFmtId="0" fontId="31" fillId="0" borderId="0" xfId="0" applyFont="1"/>
    <xf numFmtId="0" fontId="31" fillId="0" borderId="0" xfId="0" applyFont="1" applyAlignment="1">
      <alignment horizontal="right"/>
    </xf>
    <xf numFmtId="0" fontId="8" fillId="9" borderId="4" xfId="0" applyFont="1" applyFill="1" applyBorder="1" applyAlignment="1">
      <alignment horizontal="right"/>
    </xf>
    <xf numFmtId="164" fontId="0" fillId="0" borderId="6" xfId="0" applyNumberFormat="1" applyBorder="1" applyAlignment="1">
      <alignment horizontal="center" vertical="center"/>
    </xf>
    <xf numFmtId="164" fontId="0" fillId="0" borderId="7" xfId="0" applyNumberFormat="1" applyBorder="1" applyAlignment="1">
      <alignment horizontal="center" vertical="center"/>
    </xf>
    <xf numFmtId="166" fontId="8" fillId="0" borderId="0" xfId="0" applyNumberFormat="1" applyFont="1" applyAlignment="1">
      <alignment horizontal="right"/>
    </xf>
    <xf numFmtId="166" fontId="0" fillId="0" borderId="5" xfId="0" applyNumberFormat="1" applyBorder="1" applyAlignment="1">
      <alignment horizontal="left" indent="2"/>
    </xf>
    <xf numFmtId="171" fontId="9" fillId="0" borderId="0" xfId="0" applyNumberFormat="1" applyFont="1" applyAlignment="1">
      <alignment horizontal="right"/>
    </xf>
    <xf numFmtId="4" fontId="9" fillId="0" borderId="0" xfId="0" applyNumberFormat="1" applyFont="1"/>
    <xf numFmtId="4" fontId="8" fillId="9" borderId="0" xfId="3" applyNumberFormat="1" applyFont="1" applyFill="1" applyBorder="1" applyAlignment="1">
      <alignment horizontal="center"/>
    </xf>
    <xf numFmtId="164" fontId="0" fillId="9" borderId="0" xfId="0" applyNumberFormat="1" applyFill="1"/>
    <xf numFmtId="171" fontId="24" fillId="0" borderId="0" xfId="0" quotePrefix="1" applyNumberFormat="1" applyFont="1" applyAlignment="1">
      <alignment horizontal="left"/>
    </xf>
    <xf numFmtId="171" fontId="9" fillId="0" borderId="0" xfId="0" applyNumberFormat="1" applyFont="1"/>
    <xf numFmtId="171" fontId="9" fillId="0" borderId="0" xfId="0" applyNumberFormat="1" applyFont="1" applyAlignment="1">
      <alignment horizontal="center" wrapText="1"/>
    </xf>
    <xf numFmtId="0" fontId="14" fillId="7" borderId="13" xfId="4" applyNumberFormat="1" applyFont="1" applyFill="1" applyBorder="1"/>
    <xf numFmtId="4" fontId="14" fillId="7" borderId="13" xfId="10" applyNumberFormat="1"/>
    <xf numFmtId="4" fontId="9" fillId="9" borderId="0" xfId="0" applyNumberFormat="1" applyFont="1" applyFill="1" applyAlignment="1">
      <alignment horizontal="center"/>
    </xf>
    <xf numFmtId="0" fontId="9" fillId="9" borderId="0" xfId="0" applyFont="1" applyFill="1" applyAlignment="1">
      <alignment horizontal="center"/>
    </xf>
    <xf numFmtId="9" fontId="22" fillId="7" borderId="24" xfId="12" applyNumberFormat="1" applyAlignment="1">
      <alignment horizontal="center"/>
    </xf>
    <xf numFmtId="0" fontId="0" fillId="0" borderId="12" xfId="0" quotePrefix="1" applyBorder="1" applyAlignment="1">
      <alignment horizontal="center"/>
    </xf>
    <xf numFmtId="165" fontId="0" fillId="0" borderId="7" xfId="0" applyNumberFormat="1" applyBorder="1" applyAlignment="1">
      <alignment horizontal="center"/>
    </xf>
    <xf numFmtId="9" fontId="8" fillId="7" borderId="13" xfId="10" applyNumberFormat="1" applyFont="1"/>
    <xf numFmtId="166" fontId="8" fillId="6" borderId="0" xfId="0" applyNumberFormat="1" applyFont="1" applyFill="1"/>
    <xf numFmtId="171" fontId="8" fillId="0" borderId="3" xfId="0" applyNumberFormat="1" applyFont="1" applyBorder="1" applyAlignment="1">
      <alignment horizontal="center"/>
    </xf>
    <xf numFmtId="0" fontId="21" fillId="0" borderId="0" xfId="0" applyFont="1" applyAlignment="1">
      <alignment horizontal="center"/>
    </xf>
    <xf numFmtId="0" fontId="8" fillId="0" borderId="2" xfId="0" applyFont="1" applyBorder="1" applyAlignment="1">
      <alignment horizontal="center"/>
    </xf>
    <xf numFmtId="0" fontId="8" fillId="0" borderId="3" xfId="0" applyFont="1" applyBorder="1" applyAlignment="1">
      <alignment horizontal="left"/>
    </xf>
    <xf numFmtId="171" fontId="8" fillId="0" borderId="12" xfId="0" applyNumberFormat="1" applyFont="1" applyBorder="1" applyAlignment="1">
      <alignment horizontal="center"/>
    </xf>
    <xf numFmtId="11" fontId="0" fillId="0" borderId="0" xfId="0" applyNumberFormat="1" applyAlignment="1">
      <alignment horizontal="left"/>
    </xf>
    <xf numFmtId="4" fontId="0" fillId="0" borderId="0" xfId="0" applyNumberFormat="1" applyAlignment="1">
      <alignment horizontal="left"/>
    </xf>
    <xf numFmtId="0" fontId="21" fillId="0" borderId="6" xfId="0" applyFont="1" applyBorder="1" applyAlignment="1">
      <alignment horizontal="center"/>
    </xf>
    <xf numFmtId="0" fontId="0" fillId="0" borderId="7" xfId="0" applyBorder="1" applyAlignment="1">
      <alignment horizontal="left"/>
    </xf>
    <xf numFmtId="171" fontId="9" fillId="0" borderId="7" xfId="0" applyNumberFormat="1" applyFont="1" applyBorder="1"/>
    <xf numFmtId="171" fontId="31" fillId="0" borderId="2" xfId="0" applyNumberFormat="1" applyFont="1" applyBorder="1" applyAlignment="1">
      <alignment horizontal="center"/>
    </xf>
    <xf numFmtId="171" fontId="31" fillId="0" borderId="3" xfId="0" applyNumberFormat="1" applyFont="1" applyBorder="1" applyAlignment="1">
      <alignment horizontal="center"/>
    </xf>
    <xf numFmtId="171" fontId="31" fillId="0" borderId="12" xfId="0" applyNumberFormat="1" applyFont="1" applyBorder="1" applyAlignment="1">
      <alignment horizontal="center"/>
    </xf>
    <xf numFmtId="4" fontId="31" fillId="0" borderId="4" xfId="0" applyNumberFormat="1" applyFont="1" applyBorder="1" applyAlignment="1">
      <alignment horizontal="center"/>
    </xf>
    <xf numFmtId="171" fontId="31" fillId="0" borderId="0" xfId="0" applyNumberFormat="1" applyFont="1" applyAlignment="1">
      <alignment horizontal="center"/>
    </xf>
    <xf numFmtId="171" fontId="31" fillId="0" borderId="5" xfId="0" applyNumberFormat="1" applyFont="1" applyBorder="1" applyAlignment="1">
      <alignment horizontal="center"/>
    </xf>
    <xf numFmtId="171" fontId="0" fillId="0" borderId="5" xfId="0" applyNumberFormat="1" applyBorder="1"/>
    <xf numFmtId="0" fontId="13" fillId="0" borderId="6" xfId="0" applyFont="1" applyBorder="1" applyAlignment="1">
      <alignment horizontal="center"/>
    </xf>
    <xf numFmtId="0" fontId="13" fillId="0" borderId="7" xfId="0" applyFont="1" applyBorder="1" applyAlignment="1">
      <alignment horizontal="center"/>
    </xf>
    <xf numFmtId="0" fontId="13" fillId="0" borderId="8" xfId="0" applyFont="1" applyBorder="1" applyAlignment="1">
      <alignment horizontal="center"/>
    </xf>
    <xf numFmtId="4" fontId="8" fillId="6" borderId="0" xfId="0" applyNumberFormat="1" applyFont="1" applyFill="1"/>
    <xf numFmtId="164" fontId="0" fillId="0" borderId="5" xfId="3" applyNumberFormat="1" applyFont="1" applyBorder="1" applyAlignment="1">
      <alignment horizontal="center"/>
    </xf>
    <xf numFmtId="164" fontId="0" fillId="0" borderId="8" xfId="3" applyNumberFormat="1" applyFont="1" applyBorder="1" applyAlignment="1">
      <alignment horizontal="center"/>
    </xf>
    <xf numFmtId="4" fontId="0" fillId="0" borderId="0" xfId="3" applyNumberFormat="1" applyFont="1" applyBorder="1" applyAlignment="1">
      <alignment horizontal="center"/>
    </xf>
    <xf numFmtId="4" fontId="0" fillId="0" borderId="7" xfId="3" applyNumberFormat="1" applyFont="1" applyBorder="1" applyAlignment="1">
      <alignment horizontal="center"/>
    </xf>
    <xf numFmtId="169" fontId="0" fillId="0" borderId="1" xfId="0" applyNumberFormat="1" applyBorder="1" applyAlignment="1">
      <alignment horizontal="center"/>
    </xf>
    <xf numFmtId="169" fontId="0" fillId="0" borderId="27" xfId="0" applyNumberFormat="1" applyBorder="1" applyAlignment="1">
      <alignment horizontal="center"/>
    </xf>
    <xf numFmtId="164" fontId="8" fillId="0" borderId="27" xfId="0" applyNumberFormat="1" applyFont="1" applyBorder="1" applyAlignment="1">
      <alignment horizontal="center"/>
    </xf>
    <xf numFmtId="171" fontId="0" fillId="0" borderId="2" xfId="0" applyNumberFormat="1" applyBorder="1"/>
    <xf numFmtId="171" fontId="8" fillId="9" borderId="3" xfId="0" applyNumberFormat="1" applyFont="1" applyFill="1" applyBorder="1" applyAlignment="1">
      <alignment horizontal="center"/>
    </xf>
    <xf numFmtId="171" fontId="8" fillId="11" borderId="3" xfId="0" applyNumberFormat="1" applyFont="1" applyFill="1" applyBorder="1" applyAlignment="1">
      <alignment horizontal="center" wrapText="1"/>
    </xf>
    <xf numFmtId="171" fontId="8" fillId="12" borderId="3" xfId="0" applyNumberFormat="1" applyFont="1" applyFill="1" applyBorder="1" applyAlignment="1">
      <alignment horizontal="center" wrapText="1"/>
    </xf>
    <xf numFmtId="171" fontId="8" fillId="13" borderId="3" xfId="0" applyNumberFormat="1" applyFont="1" applyFill="1" applyBorder="1" applyAlignment="1">
      <alignment horizontal="center" wrapText="1"/>
    </xf>
    <xf numFmtId="171" fontId="8" fillId="6" borderId="3" xfId="0" applyNumberFormat="1" applyFont="1" applyFill="1" applyBorder="1" applyAlignment="1">
      <alignment horizontal="center" wrapText="1"/>
    </xf>
    <xf numFmtId="171" fontId="8" fillId="14" borderId="12" xfId="0" applyNumberFormat="1" applyFont="1" applyFill="1" applyBorder="1" applyAlignment="1">
      <alignment horizontal="center" wrapText="1"/>
    </xf>
    <xf numFmtId="171" fontId="9" fillId="0" borderId="4" xfId="0" applyNumberFormat="1" applyFont="1" applyBorder="1"/>
    <xf numFmtId="169" fontId="8" fillId="0" borderId="0" xfId="8" applyNumberFormat="1" applyFont="1" applyFill="1" applyBorder="1" applyAlignment="1">
      <alignment horizontal="center"/>
    </xf>
    <xf numFmtId="169" fontId="8" fillId="0" borderId="5" xfId="8" applyNumberFormat="1" applyFont="1" applyFill="1" applyBorder="1" applyAlignment="1">
      <alignment horizontal="center"/>
    </xf>
    <xf numFmtId="164" fontId="0" fillId="0" borderId="5" xfId="0" applyNumberFormat="1" applyBorder="1"/>
    <xf numFmtId="171" fontId="9" fillId="0" borderId="6" xfId="0" applyNumberFormat="1" applyFont="1" applyBorder="1"/>
    <xf numFmtId="164" fontId="0" fillId="0" borderId="7" xfId="0" applyNumberFormat="1" applyBorder="1"/>
    <xf numFmtId="164" fontId="0" fillId="0" borderId="8" xfId="0" applyNumberFormat="1" applyBorder="1"/>
    <xf numFmtId="171" fontId="0" fillId="0" borderId="27" xfId="0" applyNumberFormat="1" applyBorder="1" applyAlignment="1">
      <alignment horizontal="center" vertical="center"/>
    </xf>
    <xf numFmtId="171" fontId="8" fillId="0" borderId="27" xfId="0" applyNumberFormat="1" applyFont="1" applyBorder="1" applyAlignment="1">
      <alignment horizontal="left" vertical="center" wrapText="1"/>
    </xf>
    <xf numFmtId="171" fontId="8" fillId="0" borderId="27" xfId="0" applyNumberFormat="1" applyFont="1" applyBorder="1" applyAlignment="1">
      <alignment horizontal="center" vertical="center"/>
    </xf>
    <xf numFmtId="0" fontId="8" fillId="9" borderId="6" xfId="0" applyFont="1" applyFill="1" applyBorder="1"/>
    <xf numFmtId="0" fontId="8" fillId="0" borderId="26" xfId="0" applyFont="1" applyBorder="1" applyAlignment="1">
      <alignment horizontal="center"/>
    </xf>
    <xf numFmtId="0" fontId="0" fillId="0" borderId="27" xfId="0" applyBorder="1" applyAlignment="1">
      <alignment horizontal="center"/>
    </xf>
    <xf numFmtId="0" fontId="8" fillId="9" borderId="27" xfId="0" applyFont="1" applyFill="1" applyBorder="1" applyAlignment="1">
      <alignment horizontal="center"/>
    </xf>
    <xf numFmtId="0" fontId="0" fillId="0" borderId="27" xfId="0" quotePrefix="1" applyBorder="1" applyAlignment="1">
      <alignment horizontal="center"/>
    </xf>
    <xf numFmtId="0" fontId="8" fillId="9" borderId="27" xfId="0" quotePrefix="1" applyFont="1" applyFill="1" applyBorder="1" applyAlignment="1">
      <alignment horizontal="center"/>
    </xf>
    <xf numFmtId="0" fontId="8" fillId="9" borderId="25" xfId="0" quotePrefix="1" applyFont="1" applyFill="1" applyBorder="1" applyAlignment="1">
      <alignment horizontal="center"/>
    </xf>
    <xf numFmtId="0" fontId="8" fillId="8" borderId="0" xfId="0" applyFont="1" applyFill="1" applyAlignment="1">
      <alignment horizontal="center"/>
    </xf>
    <xf numFmtId="0" fontId="8" fillId="9" borderId="0" xfId="0" applyFont="1" applyFill="1"/>
    <xf numFmtId="164" fontId="8" fillId="8" borderId="0" xfId="0" applyNumberFormat="1" applyFont="1" applyFill="1" applyAlignment="1">
      <alignment horizontal="center"/>
    </xf>
    <xf numFmtId="0" fontId="0" fillId="9" borderId="0" xfId="0" applyFill="1"/>
    <xf numFmtId="164" fontId="0" fillId="0" borderId="27" xfId="0" applyNumberFormat="1" applyBorder="1" applyAlignment="1">
      <alignment horizontal="center" vertical="center"/>
    </xf>
    <xf numFmtId="164" fontId="0" fillId="0" borderId="25" xfId="0" applyNumberFormat="1" applyBorder="1" applyAlignment="1">
      <alignment horizontal="center" vertical="center"/>
    </xf>
    <xf numFmtId="0" fontId="0" fillId="0" borderId="0" xfId="0" applyAlignment="1">
      <alignment horizontal="right"/>
    </xf>
    <xf numFmtId="0" fontId="0" fillId="8" borderId="27" xfId="0" applyFill="1" applyBorder="1"/>
    <xf numFmtId="0" fontId="8" fillId="8" borderId="27" xfId="0" applyFont="1" applyFill="1" applyBorder="1" applyAlignment="1">
      <alignment horizontal="center" wrapText="1"/>
    </xf>
    <xf numFmtId="0" fontId="0" fillId="8" borderId="26" xfId="0" applyFill="1" applyBorder="1"/>
    <xf numFmtId="0" fontId="0" fillId="8" borderId="12" xfId="0" applyFill="1" applyBorder="1"/>
    <xf numFmtId="0" fontId="0" fillId="9" borderId="26" xfId="0" applyFill="1" applyBorder="1"/>
    <xf numFmtId="0" fontId="0" fillId="9" borderId="27" xfId="0" applyFill="1" applyBorder="1"/>
    <xf numFmtId="0" fontId="8" fillId="8" borderId="27" xfId="0" applyFont="1" applyFill="1" applyBorder="1" applyAlignment="1">
      <alignment horizontal="center"/>
    </xf>
    <xf numFmtId="4" fontId="0" fillId="0" borderId="27" xfId="0" applyNumberFormat="1" applyBorder="1" applyAlignment="1">
      <alignment horizontal="center"/>
    </xf>
    <xf numFmtId="164" fontId="0" fillId="0" borderId="0" xfId="0" applyNumberFormat="1" applyAlignment="1">
      <alignment horizontal="center" vertical="center"/>
    </xf>
    <xf numFmtId="164" fontId="0" fillId="0" borderId="8" xfId="0" applyNumberFormat="1" applyBorder="1" applyAlignment="1">
      <alignment horizontal="center" vertical="center"/>
    </xf>
    <xf numFmtId="0" fontId="0" fillId="8" borderId="2" xfId="0" applyFill="1" applyBorder="1"/>
    <xf numFmtId="0" fontId="0" fillId="8" borderId="3" xfId="0" applyFill="1" applyBorder="1"/>
    <xf numFmtId="0" fontId="8" fillId="8" borderId="4" xfId="0" applyFont="1" applyFill="1" applyBorder="1" applyAlignment="1">
      <alignment horizontal="center" vertical="center"/>
    </xf>
    <xf numFmtId="0" fontId="8" fillId="8" borderId="0" xfId="0" applyFont="1" applyFill="1" applyAlignment="1">
      <alignment horizontal="center" vertical="center"/>
    </xf>
    <xf numFmtId="0" fontId="8" fillId="8" borderId="5" xfId="0" applyFont="1" applyFill="1" applyBorder="1" applyAlignment="1">
      <alignment vertical="center"/>
    </xf>
    <xf numFmtId="164" fontId="0" fillId="9" borderId="27" xfId="0" applyNumberFormat="1" applyFill="1" applyBorder="1" applyAlignment="1">
      <alignment horizontal="center"/>
    </xf>
    <xf numFmtId="9" fontId="26" fillId="9" borderId="4" xfId="0" applyNumberFormat="1" applyFont="1" applyFill="1" applyBorder="1" applyAlignment="1">
      <alignment horizontal="center"/>
    </xf>
    <xf numFmtId="0" fontId="8" fillId="8" borderId="4" xfId="0" applyFont="1" applyFill="1" applyBorder="1" applyAlignment="1">
      <alignment horizontal="center"/>
    </xf>
    <xf numFmtId="0" fontId="8" fillId="8" borderId="2" xfId="0" applyFont="1" applyFill="1" applyBorder="1" applyAlignment="1">
      <alignment horizontal="center"/>
    </xf>
    <xf numFmtId="3" fontId="0" fillId="0" borderId="4" xfId="0" applyNumberFormat="1" applyBorder="1" applyAlignment="1">
      <alignment horizontal="center"/>
    </xf>
    <xf numFmtId="3" fontId="0" fillId="0" borderId="0" xfId="0" applyNumberFormat="1" applyAlignment="1">
      <alignment horizontal="center"/>
    </xf>
    <xf numFmtId="3" fontId="0" fillId="0" borderId="6" xfId="0" applyNumberFormat="1" applyBorder="1" applyAlignment="1">
      <alignment horizontal="center"/>
    </xf>
    <xf numFmtId="0" fontId="0" fillId="9" borderId="2" xfId="0" applyFill="1" applyBorder="1"/>
    <xf numFmtId="4" fontId="0" fillId="0" borderId="25" xfId="0" applyNumberFormat="1" applyBorder="1" applyAlignment="1">
      <alignment horizontal="center"/>
    </xf>
    <xf numFmtId="164" fontId="0" fillId="0" borderId="0" xfId="3" applyNumberFormat="1" applyFont="1" applyBorder="1" applyAlignment="1">
      <alignment horizontal="center"/>
    </xf>
    <xf numFmtId="164" fontId="0" fillId="0" borderId="7" xfId="3" applyNumberFormat="1" applyFont="1" applyBorder="1" applyAlignment="1">
      <alignment horizontal="center"/>
    </xf>
    <xf numFmtId="0" fontId="9" fillId="0" borderId="26" xfId="0" applyFont="1" applyBorder="1" applyAlignment="1">
      <alignment vertical="center" wrapText="1"/>
    </xf>
    <xf numFmtId="9" fontId="0" fillId="0" borderId="26" xfId="0" applyNumberFormat="1" applyBorder="1" applyAlignment="1">
      <alignment horizontal="center" vertical="center"/>
    </xf>
    <xf numFmtId="0" fontId="9" fillId="0" borderId="27" xfId="0" applyFont="1" applyBorder="1" applyAlignment="1">
      <alignment vertical="center" wrapText="1"/>
    </xf>
    <xf numFmtId="164" fontId="8" fillId="0" borderId="27" xfId="0" applyNumberFormat="1" applyFont="1" applyBorder="1" applyAlignment="1">
      <alignment horizontal="center" vertical="center"/>
    </xf>
    <xf numFmtId="164" fontId="9" fillId="0" borderId="27" xfId="0" applyNumberFormat="1" applyFont="1" applyBorder="1" applyAlignment="1">
      <alignment horizontal="left" vertical="center"/>
    </xf>
    <xf numFmtId="4" fontId="0" fillId="0" borderId="27" xfId="0" applyNumberFormat="1" applyBorder="1" applyAlignment="1">
      <alignment horizontal="center" vertical="center"/>
    </xf>
    <xf numFmtId="164" fontId="9" fillId="0" borderId="25" xfId="0" applyNumberFormat="1" applyFont="1" applyBorder="1" applyAlignment="1">
      <alignment horizontal="left" vertical="center"/>
    </xf>
    <xf numFmtId="0" fontId="8" fillId="9" borderId="26" xfId="0" applyFont="1" applyFill="1" applyBorder="1" applyAlignment="1">
      <alignment horizontal="center" vertical="center"/>
    </xf>
    <xf numFmtId="0" fontId="8" fillId="9" borderId="1" xfId="0" applyFont="1" applyFill="1" applyBorder="1" applyAlignment="1">
      <alignment horizontal="center" vertical="center"/>
    </xf>
    <xf numFmtId="171" fontId="34" fillId="0" borderId="0" xfId="0" applyNumberFormat="1" applyFont="1" applyAlignment="1">
      <alignment vertical="center"/>
    </xf>
    <xf numFmtId="0" fontId="35" fillId="0" borderId="0" xfId="0" applyFont="1" applyAlignment="1">
      <alignment horizontal="center"/>
    </xf>
    <xf numFmtId="171" fontId="35" fillId="0" borderId="0" xfId="0" applyNumberFormat="1" applyFont="1"/>
    <xf numFmtId="0" fontId="35" fillId="0" borderId="0" xfId="0" applyFont="1"/>
    <xf numFmtId="171" fontId="36" fillId="0" borderId="0" xfId="0" applyNumberFormat="1" applyFont="1"/>
    <xf numFmtId="0" fontId="36" fillId="0" borderId="0" xfId="0" applyFont="1"/>
    <xf numFmtId="9" fontId="37" fillId="9" borderId="0" xfId="0" applyNumberFormat="1" applyFont="1" applyFill="1" applyAlignment="1">
      <alignment horizontal="center"/>
    </xf>
    <xf numFmtId="0" fontId="38" fillId="0" borderId="0" xfId="0" applyFont="1"/>
    <xf numFmtId="164" fontId="39" fillId="0" borderId="0" xfId="0" applyNumberFormat="1" applyFont="1"/>
    <xf numFmtId="164" fontId="36" fillId="12" borderId="0" xfId="0" applyNumberFormat="1" applyFont="1" applyFill="1" applyAlignment="1">
      <alignment horizontal="left"/>
    </xf>
    <xf numFmtId="164" fontId="36" fillId="0" borderId="0" xfId="0" applyNumberFormat="1" applyFont="1"/>
    <xf numFmtId="164" fontId="40" fillId="10" borderId="0" xfId="13" applyNumberFormat="1" applyFont="1"/>
    <xf numFmtId="171" fontId="38" fillId="0" borderId="0" xfId="0" applyNumberFormat="1" applyFont="1"/>
    <xf numFmtId="0" fontId="41" fillId="0" borderId="0" xfId="0" applyFont="1"/>
    <xf numFmtId="0" fontId="42" fillId="9" borderId="0" xfId="0" applyFont="1" applyFill="1" applyAlignment="1">
      <alignment horizontal="left"/>
    </xf>
    <xf numFmtId="0" fontId="43" fillId="0" borderId="0" xfId="0" applyFont="1"/>
    <xf numFmtId="166" fontId="41" fillId="0" borderId="0" xfId="0" applyNumberFormat="1" applyFont="1"/>
    <xf numFmtId="166" fontId="41" fillId="0" borderId="0" xfId="0" applyNumberFormat="1" applyFont="1" applyAlignment="1">
      <alignment horizontal="left"/>
    </xf>
    <xf numFmtId="9" fontId="42" fillId="9" borderId="0" xfId="8" applyFont="1" applyFill="1" applyAlignment="1">
      <alignment horizontal="left"/>
    </xf>
    <xf numFmtId="164" fontId="41" fillId="0" borderId="0" xfId="0" applyNumberFormat="1" applyFont="1"/>
    <xf numFmtId="164" fontId="41" fillId="0" borderId="0" xfId="0" applyNumberFormat="1" applyFont="1" applyAlignment="1">
      <alignment horizontal="left"/>
    </xf>
    <xf numFmtId="166" fontId="43" fillId="0" borderId="0" xfId="0" applyNumberFormat="1" applyFont="1"/>
    <xf numFmtId="0" fontId="44" fillId="0" borderId="0" xfId="0" applyFont="1"/>
    <xf numFmtId="0" fontId="45" fillId="0" borderId="0" xfId="0" applyFont="1"/>
    <xf numFmtId="0" fontId="41" fillId="0" borderId="0" xfId="0" applyFont="1" applyAlignment="1">
      <alignment horizontal="center"/>
    </xf>
    <xf numFmtId="0" fontId="41" fillId="0" borderId="1" xfId="0" applyFont="1" applyBorder="1"/>
    <xf numFmtId="0" fontId="43" fillId="0" borderId="1" xfId="0" applyFont="1" applyBorder="1" applyAlignment="1">
      <alignment horizontal="center" wrapText="1"/>
    </xf>
    <xf numFmtId="0" fontId="43" fillId="0" borderId="1" xfId="0" applyFont="1" applyBorder="1" applyAlignment="1">
      <alignment horizontal="center"/>
    </xf>
    <xf numFmtId="0" fontId="43" fillId="0" borderId="22" xfId="0" applyFont="1" applyBorder="1" applyAlignment="1">
      <alignment horizontal="center" wrapText="1"/>
    </xf>
    <xf numFmtId="0" fontId="43" fillId="0" borderId="14" xfId="0" applyFont="1" applyBorder="1" applyAlignment="1">
      <alignment horizontal="center" wrapText="1"/>
    </xf>
    <xf numFmtId="0" fontId="44" fillId="0" borderId="1" xfId="0" applyFont="1" applyBorder="1" applyAlignment="1">
      <alignment vertical="center"/>
    </xf>
    <xf numFmtId="3" fontId="41" fillId="0" borderId="1" xfId="0" applyNumberFormat="1" applyFont="1" applyBorder="1" applyAlignment="1">
      <alignment horizontal="center" vertical="center"/>
    </xf>
    <xf numFmtId="3" fontId="43" fillId="0" borderId="1" xfId="0" applyNumberFormat="1" applyFont="1" applyBorder="1" applyAlignment="1">
      <alignment horizontal="center" vertical="center"/>
    </xf>
    <xf numFmtId="0" fontId="41" fillId="0" borderId="0" xfId="0" applyFont="1" applyAlignment="1">
      <alignment vertical="center"/>
    </xf>
    <xf numFmtId="169" fontId="44" fillId="0" borderId="1" xfId="8" applyNumberFormat="1" applyFont="1" applyBorder="1" applyAlignment="1">
      <alignment horizontal="center" vertical="center"/>
    </xf>
    <xf numFmtId="169" fontId="44" fillId="0" borderId="22" xfId="8" applyNumberFormat="1" applyFont="1" applyBorder="1" applyAlignment="1">
      <alignment horizontal="center" vertical="center"/>
    </xf>
    <xf numFmtId="169" fontId="43" fillId="0" borderId="15" xfId="8" applyNumberFormat="1" applyFont="1" applyBorder="1" applyAlignment="1">
      <alignment horizontal="center" vertical="center"/>
    </xf>
    <xf numFmtId="0" fontId="44" fillId="0" borderId="23" xfId="0" applyFont="1" applyBorder="1" applyAlignment="1">
      <alignment vertical="center"/>
    </xf>
    <xf numFmtId="169" fontId="44" fillId="0" borderId="23" xfId="8" applyNumberFormat="1" applyFont="1" applyBorder="1" applyAlignment="1">
      <alignment horizontal="center" vertical="center"/>
    </xf>
    <xf numFmtId="169" fontId="44" fillId="0" borderId="21" xfId="8" applyNumberFormat="1" applyFont="1" applyBorder="1" applyAlignment="1">
      <alignment horizontal="center" vertical="center"/>
    </xf>
    <xf numFmtId="169" fontId="43" fillId="0" borderId="16" xfId="8" applyNumberFormat="1" applyFont="1" applyBorder="1" applyAlignment="1">
      <alignment horizontal="center" vertical="center"/>
    </xf>
    <xf numFmtId="0" fontId="43" fillId="0" borderId="1" xfId="0" applyFont="1" applyBorder="1" applyAlignment="1">
      <alignment vertical="center"/>
    </xf>
    <xf numFmtId="0" fontId="43" fillId="0" borderId="17" xfId="0" applyFont="1" applyBorder="1" applyAlignment="1">
      <alignment vertical="center" wrapText="1"/>
    </xf>
    <xf numFmtId="169" fontId="43" fillId="0" borderId="18" xfId="8" applyNumberFormat="1" applyFont="1" applyBorder="1" applyAlignment="1">
      <alignment horizontal="center" vertical="center"/>
    </xf>
    <xf numFmtId="169" fontId="43" fillId="0" borderId="19" xfId="8" applyNumberFormat="1" applyFont="1" applyBorder="1" applyAlignment="1">
      <alignment horizontal="center" vertical="center"/>
    </xf>
    <xf numFmtId="169" fontId="43" fillId="0" borderId="20" xfId="8" applyNumberFormat="1" applyFont="1" applyBorder="1" applyAlignment="1">
      <alignment horizontal="center" vertical="center"/>
    </xf>
    <xf numFmtId="9" fontId="42" fillId="9" borderId="0" xfId="0" applyNumberFormat="1" applyFont="1" applyFill="1" applyAlignment="1">
      <alignment horizontal="left"/>
    </xf>
    <xf numFmtId="164" fontId="41" fillId="13" borderId="0" xfId="0" applyNumberFormat="1" applyFont="1" applyFill="1" applyAlignment="1">
      <alignment horizontal="left"/>
    </xf>
    <xf numFmtId="164" fontId="43" fillId="0" borderId="0" xfId="0" applyNumberFormat="1" applyFont="1"/>
    <xf numFmtId="166" fontId="41" fillId="13" borderId="0" xfId="0" applyNumberFormat="1" applyFont="1" applyFill="1" applyAlignment="1">
      <alignment horizontal="left"/>
    </xf>
    <xf numFmtId="0" fontId="8" fillId="8" borderId="4" xfId="0" applyFont="1" applyFill="1" applyBorder="1" applyAlignment="1">
      <alignment horizontal="center"/>
    </xf>
    <xf numFmtId="0" fontId="8" fillId="8" borderId="0" xfId="0" applyFont="1" applyFill="1" applyAlignment="1">
      <alignment horizontal="center"/>
    </xf>
    <xf numFmtId="0" fontId="8" fillId="8" borderId="5" xfId="0" applyFont="1" applyFill="1" applyBorder="1" applyAlignment="1">
      <alignment horizontal="center"/>
    </xf>
    <xf numFmtId="0" fontId="9" fillId="9" borderId="2" xfId="0" applyFont="1" applyFill="1" applyBorder="1" applyAlignment="1">
      <alignment horizontal="center"/>
    </xf>
    <xf numFmtId="0" fontId="9" fillId="9" borderId="3" xfId="0" applyFont="1" applyFill="1" applyBorder="1" applyAlignment="1">
      <alignment horizontal="center"/>
    </xf>
    <xf numFmtId="0" fontId="9" fillId="9" borderId="12" xfId="0" applyFont="1" applyFill="1" applyBorder="1" applyAlignment="1">
      <alignment horizontal="center"/>
    </xf>
    <xf numFmtId="0" fontId="9" fillId="9" borderId="9" xfId="0" applyFont="1" applyFill="1" applyBorder="1" applyAlignment="1">
      <alignment horizontal="center"/>
    </xf>
    <xf numFmtId="0" fontId="9" fillId="9" borderId="10" xfId="0" applyFont="1" applyFill="1" applyBorder="1" applyAlignment="1">
      <alignment horizontal="center"/>
    </xf>
    <xf numFmtId="0" fontId="9" fillId="9" borderId="11" xfId="0" applyFont="1" applyFill="1" applyBorder="1" applyAlignment="1">
      <alignment horizontal="center"/>
    </xf>
    <xf numFmtId="0" fontId="8" fillId="8" borderId="2" xfId="0" applyFont="1" applyFill="1" applyBorder="1" applyAlignment="1">
      <alignment horizontal="center"/>
    </xf>
    <xf numFmtId="0" fontId="8" fillId="8" borderId="3" xfId="0" applyFont="1" applyFill="1" applyBorder="1" applyAlignment="1">
      <alignment horizontal="center"/>
    </xf>
    <xf numFmtId="0" fontId="8" fillId="8" borderId="12" xfId="0" applyFont="1" applyFill="1" applyBorder="1" applyAlignment="1">
      <alignment horizontal="center"/>
    </xf>
    <xf numFmtId="0" fontId="8" fillId="0" borderId="0" xfId="0" applyFont="1" applyAlignment="1">
      <alignment horizontal="center" vertical="center" wrapText="1"/>
    </xf>
    <xf numFmtId="0" fontId="11" fillId="8" borderId="0" xfId="2" applyFont="1" applyFill="1" applyAlignment="1">
      <alignment horizontal="center"/>
    </xf>
    <xf numFmtId="0" fontId="8" fillId="0" borderId="1" xfId="0" applyFont="1" applyBorder="1" applyAlignment="1">
      <alignment vertical="center" wrapText="1"/>
    </xf>
    <xf numFmtId="0" fontId="46" fillId="0" borderId="0" xfId="0" applyFont="1" applyAlignment="1">
      <alignment horizontal="center"/>
    </xf>
    <xf numFmtId="0" fontId="47" fillId="0" borderId="0" xfId="0" applyFont="1" applyAlignment="1">
      <alignment horizontal="center"/>
    </xf>
    <xf numFmtId="0" fontId="8" fillId="9" borderId="0" xfId="0" applyFont="1" applyFill="1" applyAlignment="1">
      <alignment horizontal="center" vertical="center" wrapText="1"/>
    </xf>
    <xf numFmtId="171" fontId="8" fillId="6" borderId="0" xfId="0" applyNumberFormat="1" applyFont="1" applyFill="1" applyAlignment="1">
      <alignment horizontal="center" wrapText="1"/>
    </xf>
    <xf numFmtId="171" fontId="8" fillId="11" borderId="0" xfId="0" applyNumberFormat="1" applyFont="1" applyFill="1" applyAlignment="1">
      <alignment horizontal="center" wrapText="1"/>
    </xf>
  </cellXfs>
  <cellStyles count="14">
    <cellStyle name="20% - Accent1" xfId="1" builtinId="30"/>
    <cellStyle name="20% - Accent2" xfId="2" builtinId="34"/>
    <cellStyle name="Accent6" xfId="13" builtinId="49"/>
    <cellStyle name="Calculation" xfId="10" builtinId="22"/>
    <cellStyle name="Comma" xfId="3" builtinId="3"/>
    <cellStyle name="Currency" xfId="4" builtinId="4"/>
    <cellStyle name="Input" xfId="5" builtinId="20" customBuiltin="1"/>
    <cellStyle name="Light Gray" xfId="6" xr:uid="{00000000-0005-0000-0000-000006000000}"/>
    <cellStyle name="Normal" xfId="0" builtinId="0"/>
    <cellStyle name="Normal 2" xfId="7" xr:uid="{00000000-0005-0000-0000-000008000000}"/>
    <cellStyle name="Normal 3" xfId="11" xr:uid="{5E655BC7-165C-40E3-A1B0-39992C3B1F8E}"/>
    <cellStyle name="Output" xfId="12" builtinId="21"/>
    <cellStyle name="Percent" xfId="8" builtinId="5"/>
    <cellStyle name="Percent 2" xfId="9" xr:uid="{00000000-0005-0000-0000-00000A000000}"/>
  </cellStyles>
  <dxfs count="1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Decision Utility Curve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Decision Utlity</c:v>
          </c:tx>
          <c:spPr>
            <a:ln w="15875" cap="rnd">
              <a:solidFill>
                <a:schemeClr val="accent6">
                  <a:lumMod val="75000"/>
                </a:schemeClr>
              </a:solidFill>
              <a:round/>
            </a:ln>
            <a:effectLst/>
          </c:spPr>
          <c:marker>
            <c:symbol val="circle"/>
            <c:size val="5"/>
            <c:spPr>
              <a:solidFill>
                <a:schemeClr val="accent1"/>
              </a:solidFill>
              <a:ln w="9525">
                <a:solidFill>
                  <a:schemeClr val="bg1">
                    <a:lumMod val="50000"/>
                  </a:schemeClr>
                </a:solidFill>
              </a:ln>
              <a:effectLst/>
            </c:spPr>
          </c:marker>
          <c:xVal>
            <c:numRef>
              <c:f>'Decision Complete Uncertainty'!$D$67:$D$87</c:f>
              <c:numCache>
                <c:formatCode>General</c:formatCode>
                <c:ptCount val="21"/>
                <c:pt idx="0">
                  <c:v>16447500.000000011</c:v>
                </c:pt>
                <c:pt idx="1">
                  <c:v>14925875.000000011</c:v>
                </c:pt>
                <c:pt idx="2">
                  <c:v>13404250.000000011</c:v>
                </c:pt>
                <c:pt idx="3">
                  <c:v>11882625.000000011</c:v>
                </c:pt>
                <c:pt idx="4">
                  <c:v>10361000.000000011</c:v>
                </c:pt>
                <c:pt idx="5">
                  <c:v>8839375.0000000112</c:v>
                </c:pt>
                <c:pt idx="6">
                  <c:v>7317750.0000000112</c:v>
                </c:pt>
                <c:pt idx="7">
                  <c:v>5796125.0000000112</c:v>
                </c:pt>
                <c:pt idx="8">
                  <c:v>4274500.0000000112</c:v>
                </c:pt>
                <c:pt idx="9">
                  <c:v>2752875.0000000107</c:v>
                </c:pt>
                <c:pt idx="10">
                  <c:v>1231250.0000000102</c:v>
                </c:pt>
                <c:pt idx="11">
                  <c:v>-290374.99999999022</c:v>
                </c:pt>
                <c:pt idx="12">
                  <c:v>-1811999.9999999907</c:v>
                </c:pt>
                <c:pt idx="13">
                  <c:v>-3333624.9999999912</c:v>
                </c:pt>
                <c:pt idx="14">
                  <c:v>-4855249.9999999916</c:v>
                </c:pt>
                <c:pt idx="15">
                  <c:v>-6376874.9999999925</c:v>
                </c:pt>
                <c:pt idx="16">
                  <c:v>-7898499.9999999925</c:v>
                </c:pt>
                <c:pt idx="17">
                  <c:v>-9420124.9999999925</c:v>
                </c:pt>
                <c:pt idx="18">
                  <c:v>-10941749.999999993</c:v>
                </c:pt>
                <c:pt idx="19">
                  <c:v>-12463374.999999993</c:v>
                </c:pt>
                <c:pt idx="20">
                  <c:v>-13984999.999999993</c:v>
                </c:pt>
              </c:numCache>
            </c:numRef>
          </c:xVal>
          <c:yVal>
            <c:numRef>
              <c:f>'Decision Complete Uncertainty'!$C$67:$C$87</c:f>
              <c:numCache>
                <c:formatCode>General</c:formatCode>
                <c:ptCount val="21"/>
                <c:pt idx="0">
                  <c:v>0.99999999999999978</c:v>
                </c:pt>
                <c:pt idx="1">
                  <c:v>0.96689620480607141</c:v>
                </c:pt>
                <c:pt idx="2">
                  <c:v>0.93242258304184111</c:v>
                </c:pt>
                <c:pt idx="3">
                  <c:v>0.89652245163451549</c:v>
                </c:pt>
                <c:pt idx="4">
                  <c:v>0.85913678198026111</c:v>
                </c:pt>
                <c:pt idx="5">
                  <c:v>0.82020410288672885</c:v>
                </c:pt>
                <c:pt idx="6">
                  <c:v>0.77966039949936727</c:v>
                </c:pt>
                <c:pt idx="7">
                  <c:v>0.73743900804533269</c:v>
                </c:pt>
                <c:pt idx="8">
                  <c:v>0.69347050622192674</c:v>
                </c:pt>
                <c:pt idx="9">
                  <c:v>0.64768259904933834</c:v>
                </c:pt>
                <c:pt idx="10">
                  <c:v>0.6000000000000002</c:v>
                </c:pt>
                <c:pt idx="11">
                  <c:v>0.55034430720910732</c:v>
                </c:pt>
                <c:pt idx="12">
                  <c:v>0.49863387456276176</c:v>
                </c:pt>
                <c:pt idx="13">
                  <c:v>0.44478367745177355</c:v>
                </c:pt>
                <c:pt idx="14">
                  <c:v>0.38870517297039181</c:v>
                </c:pt>
                <c:pt idx="15">
                  <c:v>0.33030615433009336</c:v>
                </c:pt>
                <c:pt idx="16">
                  <c:v>0.26949059924905111</c:v>
                </c:pt>
                <c:pt idx="17">
                  <c:v>0.20615851206799909</c:v>
                </c:pt>
                <c:pt idx="18">
                  <c:v>0.14020575933289023</c:v>
                </c:pt>
                <c:pt idx="19">
                  <c:v>7.1523898574007955E-2</c:v>
                </c:pt>
                <c:pt idx="20">
                  <c:v>3.9968028886505641E-16</c:v>
                </c:pt>
              </c:numCache>
            </c:numRef>
          </c:yVal>
          <c:smooth val="0"/>
          <c:extLst>
            <c:ext xmlns:c16="http://schemas.microsoft.com/office/drawing/2014/chart" uri="{C3380CC4-5D6E-409C-BE32-E72D297353CC}">
              <c16:uniqueId val="{00000000-CFAA-4716-834E-82E5E70EFEE2}"/>
            </c:ext>
          </c:extLst>
        </c:ser>
        <c:dLbls>
          <c:showLegendKey val="0"/>
          <c:showVal val="0"/>
          <c:showCatName val="0"/>
          <c:showSerName val="0"/>
          <c:showPercent val="0"/>
          <c:showBubbleSize val="0"/>
        </c:dLbls>
        <c:axId val="1373829759"/>
        <c:axId val="1373827839"/>
      </c:scatterChart>
      <c:valAx>
        <c:axId val="1373829759"/>
        <c:scaling>
          <c:orientation val="minMax"/>
        </c:scaling>
        <c:delete val="0"/>
        <c:axPos val="b"/>
        <c:majorGridlines>
          <c:spPr>
            <a:ln w="9525" cap="flat" cmpd="sng" algn="ctr">
              <a:solidFill>
                <a:schemeClr val="tx1">
                  <a:lumMod val="15000"/>
                  <a:lumOff val="85000"/>
                </a:schemeClr>
              </a:solidFill>
              <a:round/>
            </a:ln>
            <a:effectLst/>
          </c:spPr>
        </c:majorGridlines>
        <c:numFmt formatCode="&quot;$&quot;#,##0.00_);[Red]\(&quot;$&quot;#,##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3827839"/>
        <c:crossesAt val="0.5"/>
        <c:crossBetween val="midCat"/>
        <c:dispUnits>
          <c:builtInUnit val="millions"/>
          <c:dispUnitsLbl>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valAx>
        <c:axId val="137382783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37382975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venir LT Std 65 Medium" panose="020B0603020203020204" pitchFamily="34" charset="0"/>
                <a:ea typeface="+mn-ea"/>
                <a:cs typeface="+mn-cs"/>
              </a:defRPr>
            </a:pPr>
            <a:r>
              <a:rPr lang="en-CA">
                <a:latin typeface="Avenir LT Std 65 Medium" panose="020B0603020203020204" pitchFamily="34" charset="0"/>
              </a:rPr>
              <a:t>Probabilistic Loss Scenarios using Expected Value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venir LT Std 65 Medium" panose="020B0603020203020204" pitchFamily="34" charset="0"/>
              <a:ea typeface="+mn-ea"/>
              <a:cs typeface="+mn-cs"/>
            </a:defRPr>
          </a:pPr>
          <a:endParaRPr lang="en-US"/>
        </a:p>
      </c:txPr>
    </c:title>
    <c:autoTitleDeleted val="0"/>
    <c:plotArea>
      <c:layout/>
      <c:lineChart>
        <c:grouping val="standard"/>
        <c:varyColors val="0"/>
        <c:ser>
          <c:idx val="0"/>
          <c:order val="0"/>
          <c:tx>
            <c:strRef>
              <c:f>'Expected Value'!$C$21</c:f>
              <c:strCache>
                <c:ptCount val="1"/>
                <c:pt idx="0">
                  <c:v>$0 </c:v>
                </c:pt>
              </c:strCache>
            </c:strRef>
          </c:tx>
          <c:spPr>
            <a:ln w="19050" cap="rnd">
              <a:solidFill>
                <a:schemeClr val="accent1"/>
              </a:solidFill>
              <a:round/>
            </a:ln>
            <a:effectLst/>
          </c:spPr>
          <c:marker>
            <c:symbol val="none"/>
          </c:marker>
          <c:cat>
            <c:numRef>
              <c:f>'Expected Value'!$D$20:$K$20</c:f>
              <c:numCache>
                <c:formatCode>0%</c:formatCode>
                <c:ptCount val="8"/>
                <c:pt idx="0" formatCode="0.00%">
                  <c:v>0.995</c:v>
                </c:pt>
                <c:pt idx="1">
                  <c:v>0.75</c:v>
                </c:pt>
                <c:pt idx="2">
                  <c:v>0.5</c:v>
                </c:pt>
                <c:pt idx="3">
                  <c:v>0.25</c:v>
                </c:pt>
                <c:pt idx="4">
                  <c:v>0.1</c:v>
                </c:pt>
                <c:pt idx="5">
                  <c:v>0.05</c:v>
                </c:pt>
                <c:pt idx="6">
                  <c:v>0.01</c:v>
                </c:pt>
                <c:pt idx="7" formatCode="0.0%">
                  <c:v>5.0000000000000001E-3</c:v>
                </c:pt>
              </c:numCache>
            </c:numRef>
          </c:cat>
          <c:val>
            <c:numRef>
              <c:f>'Expected Value'!$D$21:$K$21</c:f>
              <c:numCache>
                <c:formatCode>"$"#,##0_);[Red]\("$"#,##0\)</c:formatCode>
                <c:ptCount val="8"/>
                <c:pt idx="0">
                  <c:v>5000.0000000000045</c:v>
                </c:pt>
                <c:pt idx="1">
                  <c:v>250000</c:v>
                </c:pt>
                <c:pt idx="2">
                  <c:v>500000</c:v>
                </c:pt>
                <c:pt idx="3">
                  <c:v>750000</c:v>
                </c:pt>
                <c:pt idx="4">
                  <c:v>900000</c:v>
                </c:pt>
                <c:pt idx="5">
                  <c:v>950000</c:v>
                </c:pt>
                <c:pt idx="6">
                  <c:v>990000</c:v>
                </c:pt>
                <c:pt idx="7">
                  <c:v>995000</c:v>
                </c:pt>
              </c:numCache>
            </c:numRef>
          </c:val>
          <c:smooth val="0"/>
          <c:extLst>
            <c:ext xmlns:c16="http://schemas.microsoft.com/office/drawing/2014/chart" uri="{C3380CC4-5D6E-409C-BE32-E72D297353CC}">
              <c16:uniqueId val="{00000000-82C8-4E9E-A95F-BA9A261A9424}"/>
            </c:ext>
          </c:extLst>
        </c:ser>
        <c:ser>
          <c:idx val="1"/>
          <c:order val="1"/>
          <c:tx>
            <c:strRef>
              <c:f>'Expected Value'!$C$22</c:f>
              <c:strCache>
                <c:ptCount val="1"/>
                <c:pt idx="0">
                  <c:v>($10,000)</c:v>
                </c:pt>
              </c:strCache>
            </c:strRef>
          </c:tx>
          <c:spPr>
            <a:ln w="19050" cap="rnd">
              <a:solidFill>
                <a:schemeClr val="accent6">
                  <a:lumMod val="75000"/>
                </a:schemeClr>
              </a:solidFill>
              <a:round/>
            </a:ln>
            <a:effectLst/>
          </c:spPr>
          <c:marker>
            <c:symbol val="none"/>
          </c:marker>
          <c:cat>
            <c:numRef>
              <c:f>'Expected Value'!$D$20:$K$20</c:f>
              <c:numCache>
                <c:formatCode>0%</c:formatCode>
                <c:ptCount val="8"/>
                <c:pt idx="0" formatCode="0.00%">
                  <c:v>0.995</c:v>
                </c:pt>
                <c:pt idx="1">
                  <c:v>0.75</c:v>
                </c:pt>
                <c:pt idx="2">
                  <c:v>0.5</c:v>
                </c:pt>
                <c:pt idx="3">
                  <c:v>0.25</c:v>
                </c:pt>
                <c:pt idx="4">
                  <c:v>0.1</c:v>
                </c:pt>
                <c:pt idx="5">
                  <c:v>0.05</c:v>
                </c:pt>
                <c:pt idx="6">
                  <c:v>0.01</c:v>
                </c:pt>
                <c:pt idx="7" formatCode="0.0%">
                  <c:v>5.0000000000000001E-3</c:v>
                </c:pt>
              </c:numCache>
            </c:numRef>
          </c:cat>
          <c:val>
            <c:numRef>
              <c:f>'Expected Value'!$D$22:$K$22</c:f>
              <c:numCache>
                <c:formatCode>"$"#,##0_);[Red]\("$"#,##0\)</c:formatCode>
                <c:ptCount val="8"/>
                <c:pt idx="0">
                  <c:v>-4949.9999999999955</c:v>
                </c:pt>
                <c:pt idx="1">
                  <c:v>242500</c:v>
                </c:pt>
                <c:pt idx="2">
                  <c:v>495000</c:v>
                </c:pt>
                <c:pt idx="3">
                  <c:v>747500</c:v>
                </c:pt>
                <c:pt idx="4">
                  <c:v>899000</c:v>
                </c:pt>
                <c:pt idx="5">
                  <c:v>949500</c:v>
                </c:pt>
                <c:pt idx="6">
                  <c:v>989900</c:v>
                </c:pt>
                <c:pt idx="7">
                  <c:v>994950</c:v>
                </c:pt>
              </c:numCache>
            </c:numRef>
          </c:val>
          <c:smooth val="0"/>
          <c:extLst>
            <c:ext xmlns:c16="http://schemas.microsoft.com/office/drawing/2014/chart" uri="{C3380CC4-5D6E-409C-BE32-E72D297353CC}">
              <c16:uniqueId val="{00000001-82C8-4E9E-A95F-BA9A261A9424}"/>
            </c:ext>
          </c:extLst>
        </c:ser>
        <c:ser>
          <c:idx val="2"/>
          <c:order val="2"/>
          <c:tx>
            <c:strRef>
              <c:f>'Expected Value'!$C$23</c:f>
              <c:strCache>
                <c:ptCount val="1"/>
                <c:pt idx="0">
                  <c:v>($100,000)</c:v>
                </c:pt>
              </c:strCache>
            </c:strRef>
          </c:tx>
          <c:spPr>
            <a:ln w="19050" cap="rnd">
              <a:solidFill>
                <a:schemeClr val="accent5"/>
              </a:solidFill>
              <a:round/>
            </a:ln>
            <a:effectLst/>
          </c:spPr>
          <c:marker>
            <c:symbol val="none"/>
          </c:marker>
          <c:cat>
            <c:numRef>
              <c:f>'Expected Value'!$D$20:$K$20</c:f>
              <c:numCache>
                <c:formatCode>0%</c:formatCode>
                <c:ptCount val="8"/>
                <c:pt idx="0" formatCode="0.00%">
                  <c:v>0.995</c:v>
                </c:pt>
                <c:pt idx="1">
                  <c:v>0.75</c:v>
                </c:pt>
                <c:pt idx="2">
                  <c:v>0.5</c:v>
                </c:pt>
                <c:pt idx="3">
                  <c:v>0.25</c:v>
                </c:pt>
                <c:pt idx="4">
                  <c:v>0.1</c:v>
                </c:pt>
                <c:pt idx="5">
                  <c:v>0.05</c:v>
                </c:pt>
                <c:pt idx="6">
                  <c:v>0.01</c:v>
                </c:pt>
                <c:pt idx="7" formatCode="0.0%">
                  <c:v>5.0000000000000001E-3</c:v>
                </c:pt>
              </c:numCache>
            </c:numRef>
          </c:cat>
          <c:val>
            <c:numRef>
              <c:f>'Expected Value'!$D$23:$K$23</c:f>
              <c:numCache>
                <c:formatCode>"$"#,##0_);[Red]\("$"#,##0\)</c:formatCode>
                <c:ptCount val="8"/>
                <c:pt idx="0">
                  <c:v>-94500</c:v>
                </c:pt>
                <c:pt idx="1">
                  <c:v>175000</c:v>
                </c:pt>
                <c:pt idx="2">
                  <c:v>450000</c:v>
                </c:pt>
                <c:pt idx="3">
                  <c:v>725000</c:v>
                </c:pt>
                <c:pt idx="4">
                  <c:v>890000</c:v>
                </c:pt>
                <c:pt idx="5">
                  <c:v>945000</c:v>
                </c:pt>
                <c:pt idx="6">
                  <c:v>989000</c:v>
                </c:pt>
                <c:pt idx="7">
                  <c:v>994500</c:v>
                </c:pt>
              </c:numCache>
            </c:numRef>
          </c:val>
          <c:smooth val="0"/>
          <c:extLst>
            <c:ext xmlns:c16="http://schemas.microsoft.com/office/drawing/2014/chart" uri="{C3380CC4-5D6E-409C-BE32-E72D297353CC}">
              <c16:uniqueId val="{00000002-82C8-4E9E-A95F-BA9A261A9424}"/>
            </c:ext>
          </c:extLst>
        </c:ser>
        <c:ser>
          <c:idx val="3"/>
          <c:order val="3"/>
          <c:tx>
            <c:strRef>
              <c:f>'Expected Value'!$C$24</c:f>
              <c:strCache>
                <c:ptCount val="1"/>
                <c:pt idx="0">
                  <c:v>($250,000)</c:v>
                </c:pt>
              </c:strCache>
            </c:strRef>
          </c:tx>
          <c:spPr>
            <a:ln w="19050" cap="rnd">
              <a:solidFill>
                <a:schemeClr val="accent1">
                  <a:lumMod val="60000"/>
                </a:schemeClr>
              </a:solidFill>
              <a:round/>
            </a:ln>
            <a:effectLst/>
          </c:spPr>
          <c:marker>
            <c:symbol val="none"/>
          </c:marker>
          <c:cat>
            <c:numRef>
              <c:f>'Expected Value'!$D$20:$K$20</c:f>
              <c:numCache>
                <c:formatCode>0%</c:formatCode>
                <c:ptCount val="8"/>
                <c:pt idx="0" formatCode="0.00%">
                  <c:v>0.995</c:v>
                </c:pt>
                <c:pt idx="1">
                  <c:v>0.75</c:v>
                </c:pt>
                <c:pt idx="2">
                  <c:v>0.5</c:v>
                </c:pt>
                <c:pt idx="3">
                  <c:v>0.25</c:v>
                </c:pt>
                <c:pt idx="4">
                  <c:v>0.1</c:v>
                </c:pt>
                <c:pt idx="5">
                  <c:v>0.05</c:v>
                </c:pt>
                <c:pt idx="6">
                  <c:v>0.01</c:v>
                </c:pt>
                <c:pt idx="7" formatCode="0.0%">
                  <c:v>5.0000000000000001E-3</c:v>
                </c:pt>
              </c:numCache>
            </c:numRef>
          </c:cat>
          <c:val>
            <c:numRef>
              <c:f>'Expected Value'!$D$24:$K$24</c:f>
              <c:numCache>
                <c:formatCode>"$"#,##0_);[Red]\("$"#,##0\)</c:formatCode>
                <c:ptCount val="8"/>
                <c:pt idx="0">
                  <c:v>-243750</c:v>
                </c:pt>
                <c:pt idx="1">
                  <c:v>62500</c:v>
                </c:pt>
                <c:pt idx="2">
                  <c:v>375000</c:v>
                </c:pt>
                <c:pt idx="3">
                  <c:v>687500</c:v>
                </c:pt>
                <c:pt idx="4">
                  <c:v>875000</c:v>
                </c:pt>
                <c:pt idx="5">
                  <c:v>937500</c:v>
                </c:pt>
                <c:pt idx="6">
                  <c:v>987500</c:v>
                </c:pt>
                <c:pt idx="7">
                  <c:v>993750</c:v>
                </c:pt>
              </c:numCache>
            </c:numRef>
          </c:val>
          <c:smooth val="0"/>
          <c:extLst>
            <c:ext xmlns:c16="http://schemas.microsoft.com/office/drawing/2014/chart" uri="{C3380CC4-5D6E-409C-BE32-E72D297353CC}">
              <c16:uniqueId val="{00000003-82C8-4E9E-A95F-BA9A261A9424}"/>
            </c:ext>
          </c:extLst>
        </c:ser>
        <c:ser>
          <c:idx val="4"/>
          <c:order val="4"/>
          <c:tx>
            <c:strRef>
              <c:f>'Expected Value'!$C$25</c:f>
              <c:strCache>
                <c:ptCount val="1"/>
                <c:pt idx="0">
                  <c:v>($500,000)</c:v>
                </c:pt>
              </c:strCache>
            </c:strRef>
          </c:tx>
          <c:spPr>
            <a:ln w="19050" cap="rnd">
              <a:solidFill>
                <a:schemeClr val="accent3">
                  <a:lumMod val="60000"/>
                </a:schemeClr>
              </a:solidFill>
              <a:round/>
            </a:ln>
            <a:effectLst/>
          </c:spPr>
          <c:marker>
            <c:symbol val="none"/>
          </c:marker>
          <c:cat>
            <c:numRef>
              <c:f>'Expected Value'!$D$20:$K$20</c:f>
              <c:numCache>
                <c:formatCode>0%</c:formatCode>
                <c:ptCount val="8"/>
                <c:pt idx="0" formatCode="0.00%">
                  <c:v>0.995</c:v>
                </c:pt>
                <c:pt idx="1">
                  <c:v>0.75</c:v>
                </c:pt>
                <c:pt idx="2">
                  <c:v>0.5</c:v>
                </c:pt>
                <c:pt idx="3">
                  <c:v>0.25</c:v>
                </c:pt>
                <c:pt idx="4">
                  <c:v>0.1</c:v>
                </c:pt>
                <c:pt idx="5">
                  <c:v>0.05</c:v>
                </c:pt>
                <c:pt idx="6">
                  <c:v>0.01</c:v>
                </c:pt>
                <c:pt idx="7" formatCode="0.0%">
                  <c:v>5.0000000000000001E-3</c:v>
                </c:pt>
              </c:numCache>
            </c:numRef>
          </c:cat>
          <c:val>
            <c:numRef>
              <c:f>'Expected Value'!$D$25:$K$25</c:f>
              <c:numCache>
                <c:formatCode>"$"#,##0_);[Red]\("$"#,##0\)</c:formatCode>
                <c:ptCount val="8"/>
                <c:pt idx="0">
                  <c:v>-492500</c:v>
                </c:pt>
                <c:pt idx="1">
                  <c:v>-125000</c:v>
                </c:pt>
                <c:pt idx="2">
                  <c:v>250000</c:v>
                </c:pt>
                <c:pt idx="3">
                  <c:v>625000</c:v>
                </c:pt>
                <c:pt idx="4">
                  <c:v>850000</c:v>
                </c:pt>
                <c:pt idx="5">
                  <c:v>925000</c:v>
                </c:pt>
                <c:pt idx="6">
                  <c:v>985000</c:v>
                </c:pt>
                <c:pt idx="7">
                  <c:v>992500</c:v>
                </c:pt>
              </c:numCache>
            </c:numRef>
          </c:val>
          <c:smooth val="0"/>
          <c:extLst>
            <c:ext xmlns:c16="http://schemas.microsoft.com/office/drawing/2014/chart" uri="{C3380CC4-5D6E-409C-BE32-E72D297353CC}">
              <c16:uniqueId val="{00000000-0661-4D51-A0F7-712E93AC4552}"/>
            </c:ext>
          </c:extLst>
        </c:ser>
        <c:ser>
          <c:idx val="5"/>
          <c:order val="5"/>
          <c:tx>
            <c:strRef>
              <c:f>'Expected Value'!$C$26</c:f>
              <c:strCache>
                <c:ptCount val="1"/>
                <c:pt idx="0">
                  <c:v>($750,000)</c:v>
                </c:pt>
              </c:strCache>
            </c:strRef>
          </c:tx>
          <c:spPr>
            <a:ln w="19050" cap="rnd">
              <a:solidFill>
                <a:schemeClr val="accent5">
                  <a:lumMod val="60000"/>
                </a:schemeClr>
              </a:solidFill>
              <a:round/>
            </a:ln>
            <a:effectLst/>
          </c:spPr>
          <c:marker>
            <c:symbol val="none"/>
          </c:marker>
          <c:cat>
            <c:numRef>
              <c:f>'Expected Value'!$D$20:$K$20</c:f>
              <c:numCache>
                <c:formatCode>0%</c:formatCode>
                <c:ptCount val="8"/>
                <c:pt idx="0" formatCode="0.00%">
                  <c:v>0.995</c:v>
                </c:pt>
                <c:pt idx="1">
                  <c:v>0.75</c:v>
                </c:pt>
                <c:pt idx="2">
                  <c:v>0.5</c:v>
                </c:pt>
                <c:pt idx="3">
                  <c:v>0.25</c:v>
                </c:pt>
                <c:pt idx="4">
                  <c:v>0.1</c:v>
                </c:pt>
                <c:pt idx="5">
                  <c:v>0.05</c:v>
                </c:pt>
                <c:pt idx="6">
                  <c:v>0.01</c:v>
                </c:pt>
                <c:pt idx="7" formatCode="0.0%">
                  <c:v>5.0000000000000001E-3</c:v>
                </c:pt>
              </c:numCache>
            </c:numRef>
          </c:cat>
          <c:val>
            <c:numRef>
              <c:f>'Expected Value'!$D$26:$K$26</c:f>
              <c:numCache>
                <c:formatCode>"$"#,##0_);[Red]\("$"#,##0\)</c:formatCode>
                <c:ptCount val="8"/>
                <c:pt idx="0">
                  <c:v>-741250</c:v>
                </c:pt>
                <c:pt idx="1">
                  <c:v>-312500</c:v>
                </c:pt>
                <c:pt idx="2">
                  <c:v>125000</c:v>
                </c:pt>
                <c:pt idx="3">
                  <c:v>562500</c:v>
                </c:pt>
                <c:pt idx="4">
                  <c:v>825000</c:v>
                </c:pt>
                <c:pt idx="5">
                  <c:v>912500</c:v>
                </c:pt>
                <c:pt idx="6">
                  <c:v>982500</c:v>
                </c:pt>
                <c:pt idx="7">
                  <c:v>991250</c:v>
                </c:pt>
              </c:numCache>
            </c:numRef>
          </c:val>
          <c:smooth val="0"/>
          <c:extLst>
            <c:ext xmlns:c16="http://schemas.microsoft.com/office/drawing/2014/chart" uri="{C3380CC4-5D6E-409C-BE32-E72D297353CC}">
              <c16:uniqueId val="{00000001-0661-4D51-A0F7-712E93AC4552}"/>
            </c:ext>
          </c:extLst>
        </c:ser>
        <c:ser>
          <c:idx val="6"/>
          <c:order val="6"/>
          <c:tx>
            <c:strRef>
              <c:f>'Expected Value'!$C$27</c:f>
              <c:strCache>
                <c:ptCount val="1"/>
                <c:pt idx="0">
                  <c:v>($1,000,000)</c:v>
                </c:pt>
              </c:strCache>
            </c:strRef>
          </c:tx>
          <c:spPr>
            <a:ln w="19050" cap="rnd">
              <a:solidFill>
                <a:schemeClr val="accent1">
                  <a:lumMod val="80000"/>
                  <a:lumOff val="20000"/>
                </a:schemeClr>
              </a:solidFill>
              <a:round/>
            </a:ln>
            <a:effectLst/>
          </c:spPr>
          <c:marker>
            <c:symbol val="none"/>
          </c:marker>
          <c:cat>
            <c:numRef>
              <c:f>'Expected Value'!$D$20:$K$20</c:f>
              <c:numCache>
                <c:formatCode>0%</c:formatCode>
                <c:ptCount val="8"/>
                <c:pt idx="0" formatCode="0.00%">
                  <c:v>0.995</c:v>
                </c:pt>
                <c:pt idx="1">
                  <c:v>0.75</c:v>
                </c:pt>
                <c:pt idx="2">
                  <c:v>0.5</c:v>
                </c:pt>
                <c:pt idx="3">
                  <c:v>0.25</c:v>
                </c:pt>
                <c:pt idx="4">
                  <c:v>0.1</c:v>
                </c:pt>
                <c:pt idx="5">
                  <c:v>0.05</c:v>
                </c:pt>
                <c:pt idx="6">
                  <c:v>0.01</c:v>
                </c:pt>
                <c:pt idx="7" formatCode="0.0%">
                  <c:v>5.0000000000000001E-3</c:v>
                </c:pt>
              </c:numCache>
            </c:numRef>
          </c:cat>
          <c:val>
            <c:numRef>
              <c:f>'Expected Value'!$D$27:$K$27</c:f>
              <c:numCache>
                <c:formatCode>"$"#,##0_);[Red]\("$"#,##0\)</c:formatCode>
                <c:ptCount val="8"/>
                <c:pt idx="0">
                  <c:v>-990000</c:v>
                </c:pt>
                <c:pt idx="1">
                  <c:v>-500000</c:v>
                </c:pt>
                <c:pt idx="2">
                  <c:v>0</c:v>
                </c:pt>
                <c:pt idx="3">
                  <c:v>500000</c:v>
                </c:pt>
                <c:pt idx="4">
                  <c:v>800000</c:v>
                </c:pt>
                <c:pt idx="5">
                  <c:v>900000</c:v>
                </c:pt>
                <c:pt idx="6">
                  <c:v>980000</c:v>
                </c:pt>
                <c:pt idx="7">
                  <c:v>990000</c:v>
                </c:pt>
              </c:numCache>
            </c:numRef>
          </c:val>
          <c:smooth val="0"/>
          <c:extLst>
            <c:ext xmlns:c16="http://schemas.microsoft.com/office/drawing/2014/chart" uri="{C3380CC4-5D6E-409C-BE32-E72D297353CC}">
              <c16:uniqueId val="{00000002-0661-4D51-A0F7-712E93AC4552}"/>
            </c:ext>
          </c:extLst>
        </c:ser>
        <c:dLbls>
          <c:showLegendKey val="0"/>
          <c:showVal val="0"/>
          <c:showCatName val="0"/>
          <c:showSerName val="0"/>
          <c:showPercent val="0"/>
          <c:showBubbleSize val="0"/>
        </c:dLbls>
        <c:smooth val="0"/>
        <c:axId val="1321373136"/>
        <c:axId val="1321356816"/>
      </c:lineChart>
      <c:catAx>
        <c:axId val="1321373136"/>
        <c:scaling>
          <c:orientation val="maxMin"/>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venir LT Std 35 Light" panose="020B0402020203020204" pitchFamily="34" charset="0"/>
                    <a:ea typeface="+mn-ea"/>
                    <a:cs typeface="+mn-cs"/>
                  </a:defRPr>
                </a:pPr>
                <a:r>
                  <a:rPr lang="en-CA"/>
                  <a:t>Probability of loosing the bet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venir LT Std 35 Light" panose="020B0402020203020204" pitchFamily="34" charset="0"/>
                  <a:ea typeface="+mn-ea"/>
                  <a:cs typeface="+mn-cs"/>
                </a:defRPr>
              </a:pPr>
              <a:endParaRPr lang="en-US"/>
            </a:p>
          </c:txPr>
        </c:title>
        <c:numFmt formatCode="0.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LT Std 35 Light" panose="020B0402020203020204" pitchFamily="34" charset="0"/>
                <a:ea typeface="+mn-ea"/>
                <a:cs typeface="+mn-cs"/>
              </a:defRPr>
            </a:pPr>
            <a:endParaRPr lang="en-US"/>
          </a:p>
        </c:txPr>
        <c:crossAx val="1321356816"/>
        <c:crosses val="max"/>
        <c:auto val="1"/>
        <c:lblAlgn val="ctr"/>
        <c:lblOffset val="100"/>
        <c:noMultiLvlLbl val="0"/>
      </c:catAx>
      <c:valAx>
        <c:axId val="1321356816"/>
        <c:scaling>
          <c:orientation val="minMax"/>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venir LT Std 35 Light" panose="020B0402020203020204" pitchFamily="34" charset="0"/>
                    <a:ea typeface="+mn-ea"/>
                    <a:cs typeface="+mn-cs"/>
                  </a:defRPr>
                </a:pPr>
                <a:r>
                  <a:rPr lang="en-CA"/>
                  <a:t>Expected Gain / Loss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venir LT Std 35 Light" panose="020B0402020203020204" pitchFamily="34" charset="0"/>
                  <a:ea typeface="+mn-ea"/>
                  <a:cs typeface="+mn-cs"/>
                </a:defRPr>
              </a:pPr>
              <a:endParaRPr lang="en-US"/>
            </a:p>
          </c:txPr>
        </c:title>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LT Std 35 Light" panose="020B0402020203020204" pitchFamily="34" charset="0"/>
                <a:ea typeface="+mn-ea"/>
                <a:cs typeface="+mn-cs"/>
              </a:defRPr>
            </a:pPr>
            <a:endParaRPr lang="en-US"/>
          </a:p>
        </c:txPr>
        <c:crossAx val="1321373136"/>
        <c:crosses val="autoZero"/>
        <c:crossBetween val="midCat"/>
      </c:valAx>
      <c:spPr>
        <a:noFill/>
        <a:ln>
          <a:noFill/>
        </a:ln>
        <a:effectLst/>
      </c:spPr>
    </c:plotArea>
    <c:legend>
      <c:legendPos val="b"/>
      <c:layout>
        <c:manualLayout>
          <c:xMode val="edge"/>
          <c:yMode val="edge"/>
          <c:x val="0.10697722854304989"/>
          <c:y val="0.90688858479873125"/>
          <c:w val="0.66327819431259527"/>
          <c:h val="7.146330214354552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venir LT Std 35 Light" panose="020B0402020203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venir LT Std 35 Light" panose="020B0402020203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venir LT Std 35 Light" panose="020B0402020203020204" pitchFamily="34" charset="0"/>
                <a:ea typeface="+mn-ea"/>
                <a:cs typeface="+mn-cs"/>
              </a:defRPr>
            </a:pPr>
            <a:r>
              <a:rPr lang="en-CA">
                <a:latin typeface="Avenir LT Std 35 Light" panose="020B0402020203020204" pitchFamily="34" charset="0"/>
              </a:rPr>
              <a:t>How much to license the super</a:t>
            </a:r>
            <a:r>
              <a:rPr lang="en-CA" baseline="0">
                <a:latin typeface="Avenir LT Std 35 Light" panose="020B0402020203020204" pitchFamily="34" charset="0"/>
              </a:rPr>
              <a:t>-widget using CME</a:t>
            </a:r>
            <a:endParaRPr lang="en-CA">
              <a:latin typeface="Avenir LT Std 35 Light" panose="020B0402020203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venir LT Std 35 Light" panose="020B0402020203020204" pitchFamily="34" charset="0"/>
              <a:ea typeface="+mn-ea"/>
              <a:cs typeface="+mn-cs"/>
            </a:defRPr>
          </a:pPr>
          <a:endParaRPr lang="en-CA"/>
        </a:p>
      </c:txPr>
    </c:title>
    <c:autoTitleDeleted val="0"/>
    <c:plotArea>
      <c:layout/>
      <c:lineChart>
        <c:grouping val="standard"/>
        <c:varyColors val="0"/>
        <c:ser>
          <c:idx val="0"/>
          <c:order val="0"/>
          <c:tx>
            <c:strRef>
              <c:f>'Fin CME'!$B$55</c:f>
              <c:strCache>
                <c:ptCount val="1"/>
                <c:pt idx="0">
                  <c:v>Certain Monetary Equivalent</c:v>
                </c:pt>
              </c:strCache>
            </c:strRef>
          </c:tx>
          <c:spPr>
            <a:ln w="28575" cap="rnd">
              <a:solidFill>
                <a:schemeClr val="accent1"/>
              </a:solidFill>
              <a:round/>
            </a:ln>
            <a:effectLst/>
          </c:spPr>
          <c:marker>
            <c:symbol val="none"/>
          </c:marker>
          <c:val>
            <c:numRef>
              <c:f>'Fin CME'!$C$55:$H$55</c:f>
              <c:numCache>
                <c:formatCode>"$"#,##0</c:formatCode>
                <c:ptCount val="6"/>
                <c:pt idx="0">
                  <c:v>2805184.7552718124</c:v>
                </c:pt>
                <c:pt idx="1">
                  <c:v>2761904.7619047617</c:v>
                </c:pt>
                <c:pt idx="2">
                  <c:v>2577777.777777778</c:v>
                </c:pt>
                <c:pt idx="3">
                  <c:v>2320000</c:v>
                </c:pt>
                <c:pt idx="4">
                  <c:v>2175543.8859714931</c:v>
                </c:pt>
                <c:pt idx="5">
                  <c:v>1933333.3333333333</c:v>
                </c:pt>
              </c:numCache>
            </c:numRef>
          </c:val>
          <c:smooth val="0"/>
          <c:extLst>
            <c:ext xmlns:c16="http://schemas.microsoft.com/office/drawing/2014/chart" uri="{C3380CC4-5D6E-409C-BE32-E72D297353CC}">
              <c16:uniqueId val="{00000000-8714-4E23-A6CA-3FA3547A41F1}"/>
            </c:ext>
          </c:extLst>
        </c:ser>
        <c:dLbls>
          <c:showLegendKey val="0"/>
          <c:showVal val="0"/>
          <c:showCatName val="0"/>
          <c:showSerName val="0"/>
          <c:showPercent val="0"/>
          <c:showBubbleSize val="0"/>
        </c:dLbls>
        <c:marker val="1"/>
        <c:smooth val="0"/>
        <c:axId val="1246375071"/>
        <c:axId val="1246370271"/>
      </c:lineChart>
      <c:lineChart>
        <c:grouping val="standard"/>
        <c:varyColors val="0"/>
        <c:ser>
          <c:idx val="1"/>
          <c:order val="1"/>
          <c:tx>
            <c:strRef>
              <c:f>'Fin CME'!$B$56</c:f>
              <c:strCache>
                <c:ptCount val="1"/>
                <c:pt idx="0">
                  <c:v>Risk Price Adjustment</c:v>
                </c:pt>
              </c:strCache>
            </c:strRef>
          </c:tx>
          <c:spPr>
            <a:ln w="28575" cap="rnd">
              <a:solidFill>
                <a:schemeClr val="accent6">
                  <a:lumMod val="75000"/>
                </a:schemeClr>
              </a:solidFill>
              <a:round/>
            </a:ln>
            <a:effectLst/>
          </c:spPr>
          <c:marker>
            <c:symbol val="none"/>
          </c:marker>
          <c:val>
            <c:numRef>
              <c:f>'Fin CME'!$C$56:$H$56</c:f>
              <c:numCache>
                <c:formatCode>"$"#,##0_);[Red]\("$"#,##0\)</c:formatCode>
                <c:ptCount val="6"/>
                <c:pt idx="0">
                  <c:v>-94815.244728187565</c:v>
                </c:pt>
                <c:pt idx="1">
                  <c:v>-138095.23809523834</c:v>
                </c:pt>
                <c:pt idx="2">
                  <c:v>-322222.22222222202</c:v>
                </c:pt>
                <c:pt idx="3">
                  <c:v>-580000</c:v>
                </c:pt>
                <c:pt idx="4">
                  <c:v>-724456.11402850691</c:v>
                </c:pt>
                <c:pt idx="5">
                  <c:v>-966666.66666666674</c:v>
                </c:pt>
              </c:numCache>
            </c:numRef>
          </c:val>
          <c:smooth val="0"/>
          <c:extLst>
            <c:ext xmlns:c16="http://schemas.microsoft.com/office/drawing/2014/chart" uri="{C3380CC4-5D6E-409C-BE32-E72D297353CC}">
              <c16:uniqueId val="{00000001-8714-4E23-A6CA-3FA3547A41F1}"/>
            </c:ext>
          </c:extLst>
        </c:ser>
        <c:dLbls>
          <c:showLegendKey val="0"/>
          <c:showVal val="0"/>
          <c:showCatName val="0"/>
          <c:showSerName val="0"/>
          <c:showPercent val="0"/>
          <c:showBubbleSize val="0"/>
        </c:dLbls>
        <c:marker val="1"/>
        <c:smooth val="0"/>
        <c:axId val="1004942464"/>
        <c:axId val="1239939039"/>
      </c:lineChart>
      <c:catAx>
        <c:axId val="124637507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venir LT Std 35 Light" panose="020B0402020203020204" pitchFamily="34" charset="0"/>
                    <a:ea typeface="+mn-ea"/>
                    <a:cs typeface="+mn-cs"/>
                  </a:defRPr>
                </a:pPr>
                <a:r>
                  <a:rPr lang="en-CA">
                    <a:latin typeface="Avenir LT Std 35 Light" panose="020B0402020203020204" pitchFamily="34" charset="0"/>
                  </a:rPr>
                  <a:t>Risk Premium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venir LT Std 35 Light" panose="020B0402020203020204" pitchFamily="34" charset="0"/>
                  <a:ea typeface="+mn-ea"/>
                  <a:cs typeface="+mn-cs"/>
                </a:defRPr>
              </a:pPr>
              <a:endParaRPr lang="en-US"/>
            </a:p>
          </c:txPr>
        </c:title>
        <c:numFmt formatCode="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46370271"/>
        <c:crosses val="autoZero"/>
        <c:auto val="1"/>
        <c:lblAlgn val="ctr"/>
        <c:lblOffset val="100"/>
        <c:noMultiLvlLbl val="0"/>
      </c:catAx>
      <c:valAx>
        <c:axId val="124637027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Adjusted Deal Price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46375071"/>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valAx>
        <c:axId val="1239939039"/>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venir LT Std 35 Light" panose="020B0402020203020204" pitchFamily="34" charset="0"/>
                    <a:ea typeface="+mn-ea"/>
                    <a:cs typeface="+mn-cs"/>
                  </a:defRPr>
                </a:pPr>
                <a:r>
                  <a:rPr lang="en-US">
                    <a:latin typeface="Avenir LT Std 35 Light" panose="020B0402020203020204" pitchFamily="34" charset="0"/>
                  </a:rPr>
                  <a:t>Price Adjustment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venir LT Std 35 Light" panose="020B0402020203020204" pitchFamily="34" charset="0"/>
                  <a:ea typeface="+mn-ea"/>
                  <a:cs typeface="+mn-cs"/>
                </a:defRPr>
              </a:pPr>
              <a:endParaRPr lang="en-US"/>
            </a:p>
          </c:txPr>
        </c:title>
        <c:numFmt formatCode="&quot;$&quot;#,##0.0_);[Red]\(&quot;$&quot;#,##0.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004942464"/>
        <c:crosses val="max"/>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venir LT Std 35 Light" panose="020B0402020203020204" pitchFamily="34" charset="0"/>
                    <a:ea typeface="+mn-ea"/>
                    <a:cs typeface="+mn-cs"/>
                  </a:defRPr>
                </a:pPr>
                <a:endParaRPr lang="en-US"/>
              </a:p>
            </c:txPr>
          </c:dispUnitsLbl>
        </c:dispUnits>
      </c:valAx>
      <c:catAx>
        <c:axId val="1004942464"/>
        <c:scaling>
          <c:orientation val="minMax"/>
        </c:scaling>
        <c:delete val="1"/>
        <c:axPos val="b"/>
        <c:numFmt formatCode="0.0%" sourceLinked="1"/>
        <c:majorTickMark val="out"/>
        <c:minorTickMark val="none"/>
        <c:tickLblPos val="nextTo"/>
        <c:crossAx val="123993903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venir LT Std 35 Light" panose="020B0402020203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surface3DChart>
        <c:wireframe val="0"/>
        <c:ser>
          <c:idx val="0"/>
          <c:order val="0"/>
          <c:spPr>
            <a:solidFill>
              <a:schemeClr val="accent1"/>
            </a:solidFill>
            <a:ln/>
            <a:effectLst/>
            <a:sp3d/>
          </c:spPr>
          <c:val>
            <c:numRef>
              <c:f>Utility!$D$47:$D$49</c:f>
              <c:numCache>
                <c:formatCode>General</c:formatCode>
                <c:ptCount val="3"/>
              </c:numCache>
            </c:numRef>
          </c:val>
          <c:extLst>
            <c:ext xmlns:c15="http://schemas.microsoft.com/office/drawing/2012/chart" uri="{02D57815-91ED-43cb-92C2-25804820EDAC}">
              <c15:filteredSeriesTitle>
                <c15:tx>
                  <c:strRef>
                    <c:extLst>
                      <c:ext uri="{02D57815-91ED-43cb-92C2-25804820EDAC}">
                        <c15:formulaRef>
                          <c15:sqref>'CME (Howard)'!#REF!</c15:sqref>
                        </c15:formulaRef>
                      </c:ext>
                    </c:extLst>
                    <c:strCache>
                      <c:ptCount val="1"/>
                      <c:pt idx="0">
                        <c:v>#REF!</c:v>
                      </c:pt>
                    </c:strCache>
                  </c:strRef>
                </c15:tx>
              </c15:filteredSeriesTitle>
            </c:ext>
            <c:ext xmlns:c16="http://schemas.microsoft.com/office/drawing/2014/chart" uri="{C3380CC4-5D6E-409C-BE32-E72D297353CC}">
              <c16:uniqueId val="{00000000-B6CE-42CD-8A65-FB92407D5F30}"/>
            </c:ext>
          </c:extLst>
        </c:ser>
        <c:ser>
          <c:idx val="1"/>
          <c:order val="1"/>
          <c:spPr>
            <a:solidFill>
              <a:schemeClr val="accent2"/>
            </a:solidFill>
            <a:ln/>
            <a:effectLst/>
            <a:sp3d/>
          </c:spPr>
          <c:val>
            <c:numRef>
              <c:f>Utility!$E$47:$E$49</c:f>
              <c:numCache>
                <c:formatCode>General</c:formatCode>
                <c:ptCount val="3"/>
              </c:numCache>
            </c:numRef>
          </c:val>
          <c:extLst>
            <c:ext xmlns:c16="http://schemas.microsoft.com/office/drawing/2014/chart" uri="{C3380CC4-5D6E-409C-BE32-E72D297353CC}">
              <c16:uniqueId val="{00000001-B6CE-42CD-8A65-FB92407D5F30}"/>
            </c:ext>
          </c:extLst>
        </c:ser>
        <c:ser>
          <c:idx val="2"/>
          <c:order val="2"/>
          <c:spPr>
            <a:solidFill>
              <a:schemeClr val="accent3"/>
            </a:solidFill>
            <a:ln/>
            <a:effectLst/>
            <a:sp3d/>
          </c:spPr>
          <c:val>
            <c:numRef>
              <c:f>Utility!$F$47:$F$49</c:f>
              <c:numCache>
                <c:formatCode>General</c:formatCode>
                <c:ptCount val="3"/>
              </c:numCache>
            </c:numRef>
          </c:val>
          <c:extLst>
            <c:ext xmlns:c16="http://schemas.microsoft.com/office/drawing/2014/chart" uri="{C3380CC4-5D6E-409C-BE32-E72D297353CC}">
              <c16:uniqueId val="{00000002-B6CE-42CD-8A65-FB92407D5F30}"/>
            </c:ext>
          </c:extLst>
        </c:ser>
        <c:ser>
          <c:idx val="3"/>
          <c:order val="3"/>
          <c:spPr>
            <a:solidFill>
              <a:schemeClr val="accent4"/>
            </a:solidFill>
            <a:ln/>
            <a:effectLst/>
            <a:sp3d/>
          </c:spPr>
          <c:val>
            <c:numRef>
              <c:f>Utility!$G$47:$G$49</c:f>
              <c:numCache>
                <c:formatCode>General</c:formatCode>
                <c:ptCount val="3"/>
              </c:numCache>
            </c:numRef>
          </c:val>
          <c:extLst>
            <c:ext xmlns:c16="http://schemas.microsoft.com/office/drawing/2014/chart" uri="{C3380CC4-5D6E-409C-BE32-E72D297353CC}">
              <c16:uniqueId val="{00000003-B6CE-42CD-8A65-FB92407D5F30}"/>
            </c:ext>
          </c:extLst>
        </c:ser>
        <c:ser>
          <c:idx val="4"/>
          <c:order val="4"/>
          <c:spPr>
            <a:solidFill>
              <a:schemeClr val="accent5"/>
            </a:solidFill>
            <a:ln/>
            <a:effectLst/>
            <a:sp3d/>
          </c:spPr>
          <c:val>
            <c:numRef>
              <c:f>Utility!$H$47:$H$49</c:f>
              <c:numCache>
                <c:formatCode>General</c:formatCode>
                <c:ptCount val="3"/>
              </c:numCache>
            </c:numRef>
          </c:val>
          <c:extLst>
            <c:ext xmlns:c16="http://schemas.microsoft.com/office/drawing/2014/chart" uri="{C3380CC4-5D6E-409C-BE32-E72D297353CC}">
              <c16:uniqueId val="{00000004-B6CE-42CD-8A65-FB92407D5F30}"/>
            </c:ext>
          </c:extLst>
        </c:ser>
        <c:ser>
          <c:idx val="5"/>
          <c:order val="5"/>
          <c:spPr>
            <a:solidFill>
              <a:schemeClr val="accent6"/>
            </a:solidFill>
            <a:ln/>
            <a:effectLst/>
            <a:sp3d/>
          </c:spPr>
          <c:val>
            <c:numRef>
              <c:f>Utility!$I$47:$I$49</c:f>
              <c:numCache>
                <c:formatCode>General</c:formatCode>
                <c:ptCount val="3"/>
              </c:numCache>
            </c:numRef>
          </c:val>
          <c:extLst>
            <c:ext xmlns:c16="http://schemas.microsoft.com/office/drawing/2014/chart" uri="{C3380CC4-5D6E-409C-BE32-E72D297353CC}">
              <c16:uniqueId val="{00000005-B6CE-42CD-8A65-FB92407D5F30}"/>
            </c:ext>
          </c:extLst>
        </c:ser>
        <c:ser>
          <c:idx val="6"/>
          <c:order val="6"/>
          <c:spPr>
            <a:solidFill>
              <a:schemeClr val="accent1">
                <a:lumMod val="60000"/>
              </a:schemeClr>
            </a:solidFill>
            <a:ln/>
            <a:effectLst/>
            <a:sp3d/>
          </c:spPr>
          <c:val>
            <c:numRef>
              <c:f>Utility!$J$47:$J$49</c:f>
              <c:numCache>
                <c:formatCode>General</c:formatCode>
                <c:ptCount val="3"/>
              </c:numCache>
            </c:numRef>
          </c:val>
          <c:extLst>
            <c:ext xmlns:c16="http://schemas.microsoft.com/office/drawing/2014/chart" uri="{C3380CC4-5D6E-409C-BE32-E72D297353CC}">
              <c16:uniqueId val="{00000006-B6CE-42CD-8A65-FB92407D5F30}"/>
            </c:ext>
          </c:extLst>
        </c:ser>
        <c:ser>
          <c:idx val="7"/>
          <c:order val="7"/>
          <c:spPr>
            <a:solidFill>
              <a:schemeClr val="accent2">
                <a:lumMod val="60000"/>
              </a:schemeClr>
            </a:solidFill>
            <a:ln/>
            <a:effectLst/>
            <a:sp3d/>
          </c:spPr>
          <c:val>
            <c:numRef>
              <c:f>Utility!$K$47:$K$49</c:f>
              <c:numCache>
                <c:formatCode>General</c:formatCode>
                <c:ptCount val="3"/>
              </c:numCache>
            </c:numRef>
          </c:val>
          <c:extLst>
            <c:ext xmlns:c16="http://schemas.microsoft.com/office/drawing/2014/chart" uri="{C3380CC4-5D6E-409C-BE32-E72D297353CC}">
              <c16:uniqueId val="{00000007-B6CE-42CD-8A65-FB92407D5F30}"/>
            </c:ext>
          </c:extLst>
        </c:ser>
        <c:bandFmts>
          <c:bandFmt>
            <c:idx val="0"/>
            <c:spPr>
              <a:solidFill>
                <a:schemeClr val="accent1"/>
              </a:solidFill>
              <a:ln/>
              <a:effectLst/>
              <a:sp3d/>
            </c:spPr>
          </c:bandFmt>
          <c:bandFmt>
            <c:idx val="1"/>
            <c:spPr>
              <a:solidFill>
                <a:schemeClr val="accent2"/>
              </a:solidFill>
              <a:ln/>
              <a:effectLst/>
              <a:sp3d/>
            </c:spPr>
          </c:bandFmt>
          <c:bandFmt>
            <c:idx val="2"/>
            <c:spPr>
              <a:solidFill>
                <a:schemeClr val="accent3"/>
              </a:solidFill>
              <a:ln/>
              <a:effectLst/>
              <a:sp3d/>
            </c:spPr>
          </c:bandFmt>
          <c:bandFmt>
            <c:idx val="3"/>
            <c:spPr>
              <a:solidFill>
                <a:schemeClr val="accent4"/>
              </a:solidFill>
              <a:ln/>
              <a:effectLst/>
              <a:sp3d/>
            </c:spPr>
          </c:bandFmt>
          <c:bandFmt>
            <c:idx val="4"/>
            <c:spPr>
              <a:solidFill>
                <a:schemeClr val="accent5"/>
              </a:solidFill>
              <a:ln/>
              <a:effectLst/>
              <a:sp3d/>
            </c:spPr>
          </c:bandFmt>
          <c:bandFmt>
            <c:idx val="5"/>
            <c:spPr>
              <a:solidFill>
                <a:schemeClr val="accent6"/>
              </a:solidFill>
              <a:ln/>
              <a:effectLst/>
              <a:sp3d/>
            </c:spPr>
          </c:bandFmt>
          <c:bandFmt>
            <c:idx val="6"/>
            <c:spPr>
              <a:solidFill>
                <a:schemeClr val="accent1">
                  <a:lumMod val="60000"/>
                </a:schemeClr>
              </a:solidFill>
              <a:ln/>
              <a:effectLst/>
              <a:sp3d/>
            </c:spPr>
          </c:bandFmt>
          <c:bandFmt>
            <c:idx val="7"/>
            <c:spPr>
              <a:solidFill>
                <a:schemeClr val="accent2">
                  <a:lumMod val="60000"/>
                </a:schemeClr>
              </a:solidFill>
              <a:ln/>
              <a:effectLst/>
              <a:sp3d/>
            </c:spPr>
          </c:bandFmt>
          <c:bandFmt>
            <c:idx val="8"/>
            <c:spPr>
              <a:solidFill>
                <a:schemeClr val="accent3">
                  <a:lumMod val="60000"/>
                </a:schemeClr>
              </a:solidFill>
              <a:ln/>
              <a:effectLst/>
              <a:sp3d/>
            </c:spPr>
          </c:bandFmt>
          <c:bandFmt>
            <c:idx val="9"/>
            <c:spPr>
              <a:solidFill>
                <a:schemeClr val="accent4">
                  <a:lumMod val="60000"/>
                </a:schemeClr>
              </a:solidFill>
              <a:ln/>
              <a:effectLst/>
              <a:sp3d/>
            </c:spPr>
          </c:bandFmt>
          <c:bandFmt>
            <c:idx val="10"/>
            <c:spPr>
              <a:solidFill>
                <a:schemeClr val="accent5">
                  <a:lumMod val="60000"/>
                </a:schemeClr>
              </a:solidFill>
              <a:ln/>
              <a:effectLst/>
              <a:sp3d/>
            </c:spPr>
          </c:bandFmt>
          <c:bandFmt>
            <c:idx val="11"/>
            <c:spPr>
              <a:solidFill>
                <a:schemeClr val="accent6">
                  <a:lumMod val="60000"/>
                </a:schemeClr>
              </a:solidFill>
              <a:ln/>
              <a:effectLst/>
              <a:sp3d/>
            </c:spPr>
          </c:bandFmt>
          <c:bandFmt>
            <c:idx val="12"/>
            <c:spPr>
              <a:solidFill>
                <a:schemeClr val="accent1">
                  <a:lumMod val="80000"/>
                  <a:lumOff val="20000"/>
                </a:schemeClr>
              </a:solidFill>
              <a:ln/>
              <a:effectLst/>
              <a:sp3d/>
            </c:spPr>
          </c:bandFmt>
          <c:bandFmt>
            <c:idx val="13"/>
            <c:spPr>
              <a:solidFill>
                <a:schemeClr val="accent2">
                  <a:lumMod val="80000"/>
                  <a:lumOff val="20000"/>
                </a:schemeClr>
              </a:solidFill>
              <a:ln/>
              <a:effectLst/>
              <a:sp3d/>
            </c:spPr>
          </c:bandFmt>
          <c:bandFmt>
            <c:idx val="14"/>
            <c:spPr>
              <a:solidFill>
                <a:schemeClr val="accent3">
                  <a:lumMod val="80000"/>
                  <a:lumOff val="20000"/>
                </a:schemeClr>
              </a:solidFill>
              <a:ln/>
              <a:effectLst/>
              <a:sp3d/>
            </c:spPr>
          </c:bandFmt>
        </c:bandFmts>
        <c:axId val="1381877135"/>
        <c:axId val="1381875215"/>
        <c:axId val="664585167"/>
      </c:surface3DChart>
      <c:catAx>
        <c:axId val="1381877135"/>
        <c:scaling>
          <c:orientation val="minMax"/>
        </c:scaling>
        <c:delete val="0"/>
        <c:axPos val="b"/>
        <c:numFmt formatCode="0%"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1875215"/>
        <c:crosses val="autoZero"/>
        <c:auto val="1"/>
        <c:lblAlgn val="ctr"/>
        <c:lblOffset val="100"/>
        <c:noMultiLvlLbl val="0"/>
      </c:catAx>
      <c:valAx>
        <c:axId val="138187521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1877135"/>
        <c:crosses val="autoZero"/>
        <c:crossBetween val="midCat"/>
      </c:valAx>
      <c:serAx>
        <c:axId val="664585167"/>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1875215"/>
        <c:crosses val="autoZero"/>
      </c:ser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venir LT Std 35 Light" panose="020B0402020203020204" pitchFamily="34" charset="0"/>
                <a:ea typeface="+mn-ea"/>
                <a:cs typeface="+mn-cs"/>
              </a:defRPr>
            </a:pPr>
            <a:r>
              <a:rPr lang="en-US"/>
              <a:t>Utility Curve (0.5)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venir LT Std 35 Light" panose="020B0402020203020204" pitchFamily="34" charset="0"/>
              <a:ea typeface="+mn-ea"/>
              <a:cs typeface="+mn-cs"/>
            </a:defRPr>
          </a:pPr>
          <a:endParaRPr lang="en-US"/>
        </a:p>
      </c:txPr>
    </c:title>
    <c:autoTitleDeleted val="0"/>
    <c:plotArea>
      <c:layout/>
      <c:scatterChart>
        <c:scatterStyle val="lineMarker"/>
        <c:varyColors val="0"/>
        <c:ser>
          <c:idx val="0"/>
          <c:order val="0"/>
          <c:tx>
            <c:strRef>
              <c:f>Utility!$B$17</c:f>
              <c:strCache>
                <c:ptCount val="1"/>
                <c:pt idx="0">
                  <c:v>Certain Monetary Equivalent</c:v>
                </c:pt>
              </c:strCache>
            </c:strRef>
          </c:tx>
          <c:spPr>
            <a:ln w="28575" cap="rnd">
              <a:noFill/>
              <a:round/>
            </a:ln>
            <a:effectLst/>
          </c:spPr>
          <c:marker>
            <c:symbol val="circle"/>
            <c:size val="3"/>
            <c:spPr>
              <a:solidFill>
                <a:schemeClr val="accent1"/>
              </a:solidFill>
              <a:ln w="9525">
                <a:solidFill>
                  <a:schemeClr val="bg1">
                    <a:lumMod val="65000"/>
                  </a:schemeClr>
                </a:solidFill>
              </a:ln>
              <a:effectLst/>
            </c:spPr>
          </c:marker>
          <c:trendline>
            <c:spPr>
              <a:ln w="19050" cap="rnd">
                <a:solidFill>
                  <a:schemeClr val="accent1"/>
                </a:solidFill>
                <a:prstDash val="solid"/>
              </a:ln>
              <a:effectLst/>
            </c:spPr>
            <c:trendlineType val="poly"/>
            <c:order val="2"/>
            <c:dispRSqr val="0"/>
            <c:dispEq val="0"/>
          </c:trendline>
          <c:xVal>
            <c:numRef>
              <c:f>Utility!$K$7:$K$27</c:f>
              <c:numCache>
                <c:formatCode>"$"#,##0</c:formatCode>
                <c:ptCount val="20"/>
                <c:pt idx="0">
                  <c:v>10000</c:v>
                </c:pt>
                <c:pt idx="1">
                  <c:v>9250</c:v>
                </c:pt>
                <c:pt idx="2">
                  <c:v>8500</c:v>
                </c:pt>
                <c:pt idx="3">
                  <c:v>7750</c:v>
                </c:pt>
                <c:pt idx="4">
                  <c:v>7000</c:v>
                </c:pt>
                <c:pt idx="5">
                  <c:v>6250</c:v>
                </c:pt>
                <c:pt idx="6">
                  <c:v>5500</c:v>
                </c:pt>
                <c:pt idx="7">
                  <c:v>4750</c:v>
                </c:pt>
                <c:pt idx="8">
                  <c:v>4000</c:v>
                </c:pt>
                <c:pt idx="9">
                  <c:v>3250</c:v>
                </c:pt>
                <c:pt idx="10">
                  <c:v>1750</c:v>
                </c:pt>
                <c:pt idx="11">
                  <c:v>1000</c:v>
                </c:pt>
                <c:pt idx="12">
                  <c:v>250</c:v>
                </c:pt>
                <c:pt idx="13">
                  <c:v>-500</c:v>
                </c:pt>
                <c:pt idx="14">
                  <c:v>-1250</c:v>
                </c:pt>
                <c:pt idx="15">
                  <c:v>-2000</c:v>
                </c:pt>
                <c:pt idx="16">
                  <c:v>-2750</c:v>
                </c:pt>
                <c:pt idx="17">
                  <c:v>-3500</c:v>
                </c:pt>
                <c:pt idx="18">
                  <c:v>-4250</c:v>
                </c:pt>
                <c:pt idx="19">
                  <c:v>-5000</c:v>
                </c:pt>
              </c:numCache>
            </c:numRef>
          </c:xVal>
          <c:yVal>
            <c:numRef>
              <c:f>Utility!$J$7:$J$27</c:f>
              <c:numCache>
                <c:formatCode>#,##0.00</c:formatCode>
                <c:ptCount val="20"/>
                <c:pt idx="0">
                  <c:v>1</c:v>
                </c:pt>
                <c:pt idx="1">
                  <c:v>0.95</c:v>
                </c:pt>
                <c:pt idx="2">
                  <c:v>0.9</c:v>
                </c:pt>
                <c:pt idx="3">
                  <c:v>0.85</c:v>
                </c:pt>
                <c:pt idx="4">
                  <c:v>0.8</c:v>
                </c:pt>
                <c:pt idx="5">
                  <c:v>0.75</c:v>
                </c:pt>
                <c:pt idx="6">
                  <c:v>0.7</c:v>
                </c:pt>
                <c:pt idx="7">
                  <c:v>0.65</c:v>
                </c:pt>
                <c:pt idx="8">
                  <c:v>0.6</c:v>
                </c:pt>
                <c:pt idx="9">
                  <c:v>0.55000000000000004</c:v>
                </c:pt>
                <c:pt idx="10">
                  <c:v>0.45</c:v>
                </c:pt>
                <c:pt idx="11">
                  <c:v>0.4</c:v>
                </c:pt>
                <c:pt idx="12">
                  <c:v>0.35</c:v>
                </c:pt>
                <c:pt idx="13">
                  <c:v>0.3</c:v>
                </c:pt>
                <c:pt idx="14">
                  <c:v>0.25</c:v>
                </c:pt>
                <c:pt idx="15">
                  <c:v>0.2</c:v>
                </c:pt>
                <c:pt idx="16">
                  <c:v>0.15</c:v>
                </c:pt>
                <c:pt idx="17">
                  <c:v>0.1</c:v>
                </c:pt>
                <c:pt idx="18">
                  <c:v>0.05</c:v>
                </c:pt>
                <c:pt idx="19">
                  <c:v>0</c:v>
                </c:pt>
              </c:numCache>
            </c:numRef>
          </c:yVal>
          <c:smooth val="0"/>
          <c:extLst>
            <c:ext xmlns:c16="http://schemas.microsoft.com/office/drawing/2014/chart" uri="{C3380CC4-5D6E-409C-BE32-E72D297353CC}">
              <c16:uniqueId val="{00000000-646B-499E-968B-6847140C05B4}"/>
            </c:ext>
          </c:extLst>
        </c:ser>
        <c:dLbls>
          <c:showLegendKey val="0"/>
          <c:showVal val="0"/>
          <c:showCatName val="0"/>
          <c:showSerName val="0"/>
          <c:showPercent val="0"/>
          <c:showBubbleSize val="0"/>
        </c:dLbls>
        <c:axId val="1485162815"/>
        <c:axId val="1485170015"/>
      </c:scatterChart>
      <c:valAx>
        <c:axId val="1485162815"/>
        <c:scaling>
          <c:orientation val="minMax"/>
        </c:scaling>
        <c:delete val="0"/>
        <c:axPos val="b"/>
        <c:majorGridlines>
          <c:spPr>
            <a:ln w="9525" cap="flat" cmpd="sng" algn="ctr">
              <a:solidFill>
                <a:schemeClr val="tx1">
                  <a:lumMod val="15000"/>
                  <a:lumOff val="85000"/>
                </a:schemeClr>
              </a:solidFill>
              <a:round/>
            </a:ln>
            <a:effectLst/>
          </c:spPr>
        </c:majorGridlines>
        <c:numFmt formatCode="&quot;$&quot;#,##0_);[Red]\(&quot;$&quot;#,##0\)" sourceLinked="0"/>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LT Std 35 Light" panose="020B0402020203020204" pitchFamily="34" charset="0"/>
                <a:ea typeface="+mn-ea"/>
                <a:cs typeface="+mn-cs"/>
              </a:defRPr>
            </a:pPr>
            <a:endParaRPr lang="en-US"/>
          </a:p>
        </c:txPr>
        <c:crossAx val="1485170015"/>
        <c:crossesAt val="0.5"/>
        <c:crossBetween val="midCat"/>
      </c:valAx>
      <c:valAx>
        <c:axId val="148517001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LT Std 35 Light" panose="020B0402020203020204" pitchFamily="34" charset="0"/>
                <a:ea typeface="+mn-ea"/>
                <a:cs typeface="+mn-cs"/>
              </a:defRPr>
            </a:pPr>
            <a:endParaRPr lang="en-US"/>
          </a:p>
        </c:txPr>
        <c:crossAx val="1485162815"/>
        <c:crossesAt val="0.5"/>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venir LT Std 35 Light" panose="020B0402020203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b="1">
                <a:latin typeface="Avenir LT Std 65 Medium" panose="020B0603020203020204" pitchFamily="34" charset="0"/>
              </a:rPr>
              <a:t>How much to license the super</a:t>
            </a:r>
            <a:r>
              <a:rPr lang="en-CA" b="1" baseline="0">
                <a:latin typeface="Avenir LT Std 65 Medium" panose="020B0603020203020204" pitchFamily="34" charset="0"/>
              </a:rPr>
              <a:t>-widget using CME</a:t>
            </a:r>
            <a:endParaRPr lang="en-CA" b="1">
              <a:latin typeface="Avenir LT Std 65 Medium" panose="020B0603020203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CA"/>
        </a:p>
      </c:txPr>
    </c:title>
    <c:autoTitleDeleted val="0"/>
    <c:plotArea>
      <c:layout/>
      <c:lineChart>
        <c:grouping val="standard"/>
        <c:varyColors val="0"/>
        <c:ser>
          <c:idx val="0"/>
          <c:order val="0"/>
          <c:tx>
            <c:strRef>
              <c:f>SuperWidgets!$B$58</c:f>
              <c:strCache>
                <c:ptCount val="1"/>
                <c:pt idx="0">
                  <c:v>Risk Adjusted EV</c:v>
                </c:pt>
              </c:strCache>
            </c:strRef>
          </c:tx>
          <c:spPr>
            <a:ln w="19050" cap="rnd">
              <a:solidFill>
                <a:schemeClr val="accent1">
                  <a:alpha val="80000"/>
                </a:schemeClr>
              </a:solidFill>
              <a:round/>
            </a:ln>
            <a:effectLst/>
          </c:spPr>
          <c:marker>
            <c:symbol val="none"/>
          </c:marker>
          <c:val>
            <c:numRef>
              <c:f>SuperWidgets!$C$58:$H$58</c:f>
              <c:numCache>
                <c:formatCode>"$"#,##0</c:formatCode>
                <c:ptCount val="6"/>
                <c:pt idx="0">
                  <c:v>2805184.7552718124</c:v>
                </c:pt>
                <c:pt idx="1">
                  <c:v>2761904.7619047617</c:v>
                </c:pt>
                <c:pt idx="2">
                  <c:v>2577777.777777778</c:v>
                </c:pt>
                <c:pt idx="3">
                  <c:v>2320000</c:v>
                </c:pt>
                <c:pt idx="4">
                  <c:v>2175543.8859714931</c:v>
                </c:pt>
                <c:pt idx="5">
                  <c:v>1933333.3333333333</c:v>
                </c:pt>
              </c:numCache>
            </c:numRef>
          </c:val>
          <c:smooth val="0"/>
          <c:extLst>
            <c:ext xmlns:c16="http://schemas.microsoft.com/office/drawing/2014/chart" uri="{C3380CC4-5D6E-409C-BE32-E72D297353CC}">
              <c16:uniqueId val="{00000000-AE6F-4B5E-98A4-9F2833BC922F}"/>
            </c:ext>
          </c:extLst>
        </c:ser>
        <c:ser>
          <c:idx val="2"/>
          <c:order val="2"/>
          <c:tx>
            <c:strRef>
              <c:f>SuperWidgets!$B$62</c:f>
              <c:strCache>
                <c:ptCount val="1"/>
                <c:pt idx="0">
                  <c:v>CME</c:v>
                </c:pt>
              </c:strCache>
            </c:strRef>
          </c:tx>
          <c:spPr>
            <a:ln w="12700" cap="rnd">
              <a:solidFill>
                <a:schemeClr val="accent3">
                  <a:alpha val="80000"/>
                </a:schemeClr>
              </a:solidFill>
              <a:prstDash val="sysDash"/>
              <a:round/>
            </a:ln>
            <a:effectLst/>
          </c:spPr>
          <c:marker>
            <c:symbol val="none"/>
          </c:marker>
          <c:val>
            <c:numRef>
              <c:f>SuperWidgets!$C$62:$H$62</c:f>
              <c:numCache>
                <c:formatCode>"$"#,##0_);[Red]\("$"#,##0\)</c:formatCode>
                <c:ptCount val="6"/>
                <c:pt idx="0">
                  <c:v>1917909.6176961008</c:v>
                </c:pt>
                <c:pt idx="1">
                  <c:v>1917909.6176961008</c:v>
                </c:pt>
                <c:pt idx="2">
                  <c:v>1917909.6176961008</c:v>
                </c:pt>
                <c:pt idx="3">
                  <c:v>1917909.6176961008</c:v>
                </c:pt>
                <c:pt idx="4">
                  <c:v>1917909.6176961008</c:v>
                </c:pt>
                <c:pt idx="5">
                  <c:v>1917909.6176961008</c:v>
                </c:pt>
              </c:numCache>
            </c:numRef>
          </c:val>
          <c:smooth val="0"/>
          <c:extLst>
            <c:ext xmlns:c16="http://schemas.microsoft.com/office/drawing/2014/chart" uri="{C3380CC4-5D6E-409C-BE32-E72D297353CC}">
              <c16:uniqueId val="{00000002-AE6F-4B5E-98A4-9F2833BC922F}"/>
            </c:ext>
          </c:extLst>
        </c:ser>
        <c:dLbls>
          <c:showLegendKey val="0"/>
          <c:showVal val="0"/>
          <c:showCatName val="0"/>
          <c:showSerName val="0"/>
          <c:showPercent val="0"/>
          <c:showBubbleSize val="0"/>
        </c:dLbls>
        <c:marker val="1"/>
        <c:smooth val="0"/>
        <c:axId val="1246375071"/>
        <c:axId val="1246370271"/>
      </c:lineChart>
      <c:lineChart>
        <c:grouping val="standard"/>
        <c:varyColors val="0"/>
        <c:ser>
          <c:idx val="1"/>
          <c:order val="1"/>
          <c:tx>
            <c:strRef>
              <c:f>SuperWidgets!$B$59</c:f>
              <c:strCache>
                <c:ptCount val="1"/>
                <c:pt idx="0">
                  <c:v>Risk Price Adjustment</c:v>
                </c:pt>
              </c:strCache>
            </c:strRef>
          </c:tx>
          <c:spPr>
            <a:ln w="12700" cap="rnd">
              <a:solidFill>
                <a:schemeClr val="accent6">
                  <a:lumMod val="75000"/>
                  <a:alpha val="80000"/>
                </a:schemeClr>
              </a:solidFill>
              <a:round/>
            </a:ln>
            <a:effectLst/>
          </c:spPr>
          <c:marker>
            <c:symbol val="none"/>
          </c:marker>
          <c:val>
            <c:numRef>
              <c:f>SuperWidgets!$C$59:$H$59</c:f>
              <c:numCache>
                <c:formatCode>"$"#,##0_);[Red]\("$"#,##0\)</c:formatCode>
                <c:ptCount val="6"/>
                <c:pt idx="0">
                  <c:v>-94815.244728187565</c:v>
                </c:pt>
                <c:pt idx="1">
                  <c:v>-138095.23809523834</c:v>
                </c:pt>
                <c:pt idx="2">
                  <c:v>-322222.22222222202</c:v>
                </c:pt>
                <c:pt idx="3">
                  <c:v>-580000</c:v>
                </c:pt>
                <c:pt idx="4">
                  <c:v>-724456.11402850691</c:v>
                </c:pt>
                <c:pt idx="5">
                  <c:v>-966666.66666666674</c:v>
                </c:pt>
              </c:numCache>
            </c:numRef>
          </c:val>
          <c:smooth val="0"/>
          <c:extLst>
            <c:ext xmlns:c16="http://schemas.microsoft.com/office/drawing/2014/chart" uri="{C3380CC4-5D6E-409C-BE32-E72D297353CC}">
              <c16:uniqueId val="{00000001-AE6F-4B5E-98A4-9F2833BC922F}"/>
            </c:ext>
          </c:extLst>
        </c:ser>
        <c:dLbls>
          <c:showLegendKey val="0"/>
          <c:showVal val="0"/>
          <c:showCatName val="0"/>
          <c:showSerName val="0"/>
          <c:showPercent val="0"/>
          <c:showBubbleSize val="0"/>
        </c:dLbls>
        <c:marker val="1"/>
        <c:smooth val="0"/>
        <c:axId val="1004942464"/>
        <c:axId val="1239939039"/>
      </c:lineChart>
      <c:catAx>
        <c:axId val="124637507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1" u="none" strike="noStrike" kern="1200" baseline="0">
                    <a:solidFill>
                      <a:schemeClr val="tx1">
                        <a:lumMod val="65000"/>
                        <a:lumOff val="35000"/>
                      </a:schemeClr>
                    </a:solidFill>
                    <a:latin typeface="+mn-lt"/>
                    <a:ea typeface="+mn-ea"/>
                    <a:cs typeface="+mn-cs"/>
                  </a:defRPr>
                </a:pPr>
                <a:r>
                  <a:rPr lang="en-CA" i="1"/>
                  <a:t>Risk Premium</a:t>
                </a:r>
              </a:p>
            </c:rich>
          </c:tx>
          <c:layout>
            <c:manualLayout>
              <c:xMode val="edge"/>
              <c:yMode val="edge"/>
              <c:x val="0.43227721222941295"/>
              <c:y val="0.80368397302342554"/>
            </c:manualLayout>
          </c:layout>
          <c:overlay val="0"/>
          <c:spPr>
            <a:solidFill>
              <a:schemeClr val="bg1">
                <a:lumMod val="95000"/>
              </a:schemeClr>
            </a:solidFill>
            <a:ln>
              <a:noFill/>
            </a:ln>
            <a:effectLst/>
          </c:spPr>
          <c:txPr>
            <a:bodyPr rot="0" spcFirstLastPara="1" vertOverflow="ellipsis" vert="horz" wrap="square" anchor="ctr" anchorCtr="1"/>
            <a:lstStyle/>
            <a:p>
              <a:pPr>
                <a:defRPr sz="1000" b="0" i="1"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Avenir LT Std 65 Medium" panose="020B0603020203020204" pitchFamily="34" charset="0"/>
                <a:ea typeface="+mn-ea"/>
                <a:cs typeface="+mn-cs"/>
              </a:defRPr>
            </a:pPr>
            <a:endParaRPr lang="en-US"/>
          </a:p>
        </c:txPr>
        <c:crossAx val="1246370271"/>
        <c:crosses val="autoZero"/>
        <c:auto val="1"/>
        <c:lblAlgn val="ctr"/>
        <c:lblOffset val="100"/>
        <c:noMultiLvlLbl val="0"/>
      </c:catAx>
      <c:valAx>
        <c:axId val="124637027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1" u="none" strike="noStrike" kern="1200" baseline="0">
                    <a:solidFill>
                      <a:schemeClr val="tx1">
                        <a:lumMod val="65000"/>
                        <a:lumOff val="35000"/>
                      </a:schemeClr>
                    </a:solidFill>
                    <a:latin typeface="+mn-lt"/>
                    <a:ea typeface="+mn-ea"/>
                    <a:cs typeface="+mn-cs"/>
                  </a:defRPr>
                </a:pPr>
                <a:r>
                  <a:rPr lang="en-CA" i="1"/>
                  <a:t>Adjusted Deal Price</a:t>
                </a:r>
              </a:p>
            </c:rich>
          </c:tx>
          <c:overlay val="0"/>
          <c:spPr>
            <a:solidFill>
              <a:schemeClr val="bg1">
                <a:lumMod val="95000"/>
              </a:schemeClr>
            </a:solidFill>
            <a:ln>
              <a:noFill/>
            </a:ln>
            <a:effectLst/>
          </c:spPr>
          <c:txPr>
            <a:bodyPr rot="-5400000" spcFirstLastPara="1" vertOverflow="ellipsis" vert="horz" wrap="square" anchor="ctr" anchorCtr="1"/>
            <a:lstStyle/>
            <a:p>
              <a:pPr>
                <a:defRPr sz="1000" b="0" i="1" u="none" strike="noStrike" kern="1200" baseline="0">
                  <a:solidFill>
                    <a:schemeClr val="tx1">
                      <a:lumMod val="65000"/>
                      <a:lumOff val="35000"/>
                    </a:schemeClr>
                  </a:solidFill>
                  <a:latin typeface="+mn-lt"/>
                  <a:ea typeface="+mn-ea"/>
                  <a:cs typeface="+mn-cs"/>
                </a:defRPr>
              </a:pPr>
              <a:endParaRPr lang="en-US"/>
            </a:p>
          </c:txPr>
        </c:title>
        <c:numFmt formatCode="&quot;$&quot;#,##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venir LT Std 35 Light" panose="020B0402020203020204" pitchFamily="34" charset="0"/>
                <a:ea typeface="+mn-ea"/>
                <a:cs typeface="+mn-cs"/>
              </a:defRPr>
            </a:pPr>
            <a:endParaRPr lang="en-US"/>
          </a:p>
        </c:txPr>
        <c:crossAx val="1246375071"/>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valAx>
        <c:axId val="1239939039"/>
        <c:scaling>
          <c:orientation val="minMax"/>
        </c:scaling>
        <c:delete val="0"/>
        <c:axPos val="r"/>
        <c:title>
          <c:tx>
            <c:rich>
              <a:bodyPr rot="-5400000" spcFirstLastPara="1" vertOverflow="ellipsis" vert="horz" wrap="square" anchor="ctr" anchorCtr="1"/>
              <a:lstStyle/>
              <a:p>
                <a:pPr>
                  <a:defRPr sz="1000" b="0" i="1" u="none" strike="noStrike" kern="1200" baseline="0">
                    <a:solidFill>
                      <a:schemeClr val="tx1">
                        <a:lumMod val="65000"/>
                        <a:lumOff val="35000"/>
                      </a:schemeClr>
                    </a:solidFill>
                    <a:latin typeface="+mn-lt"/>
                    <a:ea typeface="+mn-ea"/>
                    <a:cs typeface="+mn-cs"/>
                  </a:defRPr>
                </a:pPr>
                <a:r>
                  <a:rPr lang="en-US" i="1"/>
                  <a:t>Price Adjustment</a:t>
                </a:r>
              </a:p>
            </c:rich>
          </c:tx>
          <c:overlay val="0"/>
          <c:spPr>
            <a:solidFill>
              <a:schemeClr val="bg1">
                <a:lumMod val="95000"/>
              </a:schemeClr>
            </a:solidFill>
            <a:ln>
              <a:noFill/>
            </a:ln>
            <a:effectLst/>
          </c:spPr>
          <c:txPr>
            <a:bodyPr rot="-5400000" spcFirstLastPara="1" vertOverflow="ellipsis" vert="horz" wrap="square" anchor="ctr" anchorCtr="1"/>
            <a:lstStyle/>
            <a:p>
              <a:pPr>
                <a:defRPr sz="1000" b="0" i="1" u="none" strike="noStrike" kern="1200" baseline="0">
                  <a:solidFill>
                    <a:schemeClr val="tx1">
                      <a:lumMod val="65000"/>
                      <a:lumOff val="35000"/>
                    </a:schemeClr>
                  </a:solidFill>
                  <a:latin typeface="+mn-lt"/>
                  <a:ea typeface="+mn-ea"/>
                  <a:cs typeface="+mn-cs"/>
                </a:defRPr>
              </a:pPr>
              <a:endParaRPr lang="en-US"/>
            </a:p>
          </c:txPr>
        </c:title>
        <c:numFmt formatCode="&quot;$&quot;#,##0.0_);[Red]\(&quot;$&quot;#,##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venir LT Std 35 Light" panose="020B0402020203020204" pitchFamily="34" charset="0"/>
                <a:ea typeface="+mn-ea"/>
                <a:cs typeface="+mn-cs"/>
              </a:defRPr>
            </a:pPr>
            <a:endParaRPr lang="en-US"/>
          </a:p>
        </c:txPr>
        <c:crossAx val="1004942464"/>
        <c:crosses val="max"/>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catAx>
        <c:axId val="1004942464"/>
        <c:scaling>
          <c:orientation val="minMax"/>
        </c:scaling>
        <c:delete val="1"/>
        <c:axPos val="b"/>
        <c:numFmt formatCode="0.0%" sourceLinked="1"/>
        <c:majorTickMark val="out"/>
        <c:minorTickMark val="none"/>
        <c:tickLblPos val="nextTo"/>
        <c:crossAx val="123993903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venir LT Std 35 Light" panose="020B0402020203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9525</xdr:colOff>
      <xdr:row>65</xdr:row>
      <xdr:rowOff>161925</xdr:rowOff>
    </xdr:from>
    <xdr:to>
      <xdr:col>6</xdr:col>
      <xdr:colOff>9525</xdr:colOff>
      <xdr:row>87</xdr:row>
      <xdr:rowOff>76200</xdr:rowOff>
    </xdr:to>
    <xdr:graphicFrame macro="">
      <xdr:nvGraphicFramePr>
        <xdr:cNvPr id="9" name="Chart 8">
          <a:extLst>
            <a:ext uri="{FF2B5EF4-FFF2-40B4-BE49-F238E27FC236}">
              <a16:creationId xmlns:a16="http://schemas.microsoft.com/office/drawing/2014/main" id="{80573686-286A-D475-DC49-2D19EC8852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0</xdr:colOff>
      <xdr:row>22</xdr:row>
      <xdr:rowOff>76200</xdr:rowOff>
    </xdr:from>
    <xdr:to>
      <xdr:col>19</xdr:col>
      <xdr:colOff>0</xdr:colOff>
      <xdr:row>22</xdr:row>
      <xdr:rowOff>76200</xdr:rowOff>
    </xdr:to>
    <xdr:sp macro="" textlink="">
      <xdr:nvSpPr>
        <xdr:cNvPr id="3520" name="Line 347">
          <a:extLst>
            <a:ext uri="{FF2B5EF4-FFF2-40B4-BE49-F238E27FC236}">
              <a16:creationId xmlns:a16="http://schemas.microsoft.com/office/drawing/2014/main" id="{9FC0EC4F-F251-C581-2846-0B2605277B0B}"/>
            </a:ext>
          </a:extLst>
        </xdr:cNvPr>
        <xdr:cNvSpPr>
          <a:spLocks noChangeShapeType="1"/>
        </xdr:cNvSpPr>
      </xdr:nvSpPr>
      <xdr:spPr bwMode="auto">
        <a:xfrm>
          <a:off x="3733800" y="29937075"/>
          <a:ext cx="12192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0</xdr:colOff>
      <xdr:row>22</xdr:row>
      <xdr:rowOff>76200</xdr:rowOff>
    </xdr:from>
    <xdr:to>
      <xdr:col>17</xdr:col>
      <xdr:colOff>0</xdr:colOff>
      <xdr:row>34</xdr:row>
      <xdr:rowOff>76200</xdr:rowOff>
    </xdr:to>
    <xdr:sp macro="" textlink="">
      <xdr:nvSpPr>
        <xdr:cNvPr id="3521" name="Line 348">
          <a:extLst>
            <a:ext uri="{FF2B5EF4-FFF2-40B4-BE49-F238E27FC236}">
              <a16:creationId xmlns:a16="http://schemas.microsoft.com/office/drawing/2014/main" id="{1A6F6978-4D43-AF4F-8E5D-C1873482F86A}"/>
            </a:ext>
          </a:extLst>
        </xdr:cNvPr>
        <xdr:cNvSpPr>
          <a:spLocks noChangeShapeType="1"/>
        </xdr:cNvSpPr>
      </xdr:nvSpPr>
      <xdr:spPr bwMode="auto">
        <a:xfrm flipV="1">
          <a:off x="3486150" y="29937075"/>
          <a:ext cx="247650" cy="228600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32</xdr:row>
      <xdr:rowOff>76200</xdr:rowOff>
    </xdr:from>
    <xdr:to>
      <xdr:col>19</xdr:col>
      <xdr:colOff>0</xdr:colOff>
      <xdr:row>32</xdr:row>
      <xdr:rowOff>76200</xdr:rowOff>
    </xdr:to>
    <xdr:sp macro="" textlink="">
      <xdr:nvSpPr>
        <xdr:cNvPr id="3523" name="Line 349">
          <a:extLst>
            <a:ext uri="{FF2B5EF4-FFF2-40B4-BE49-F238E27FC236}">
              <a16:creationId xmlns:a16="http://schemas.microsoft.com/office/drawing/2014/main" id="{08EFFB21-5F1D-B782-C043-B476D6D34863}"/>
            </a:ext>
          </a:extLst>
        </xdr:cNvPr>
        <xdr:cNvSpPr>
          <a:spLocks noChangeShapeType="1"/>
        </xdr:cNvSpPr>
      </xdr:nvSpPr>
      <xdr:spPr bwMode="auto">
        <a:xfrm>
          <a:off x="3733800" y="31842075"/>
          <a:ext cx="12192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0</xdr:colOff>
      <xdr:row>32</xdr:row>
      <xdr:rowOff>76200</xdr:rowOff>
    </xdr:from>
    <xdr:to>
      <xdr:col>17</xdr:col>
      <xdr:colOff>0</xdr:colOff>
      <xdr:row>34</xdr:row>
      <xdr:rowOff>76200</xdr:rowOff>
    </xdr:to>
    <xdr:sp macro="" textlink="">
      <xdr:nvSpPr>
        <xdr:cNvPr id="3524" name="Line 350">
          <a:extLst>
            <a:ext uri="{FF2B5EF4-FFF2-40B4-BE49-F238E27FC236}">
              <a16:creationId xmlns:a16="http://schemas.microsoft.com/office/drawing/2014/main" id="{8C1ACDEE-CE2A-4BD5-BE19-A5D1BD56868D}"/>
            </a:ext>
          </a:extLst>
        </xdr:cNvPr>
        <xdr:cNvSpPr>
          <a:spLocks noChangeShapeType="1"/>
        </xdr:cNvSpPr>
      </xdr:nvSpPr>
      <xdr:spPr bwMode="auto">
        <a:xfrm flipV="1">
          <a:off x="3486150" y="31842075"/>
          <a:ext cx="247650" cy="38100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0</xdr:colOff>
      <xdr:row>47</xdr:row>
      <xdr:rowOff>76200</xdr:rowOff>
    </xdr:from>
    <xdr:to>
      <xdr:col>19</xdr:col>
      <xdr:colOff>0</xdr:colOff>
      <xdr:row>47</xdr:row>
      <xdr:rowOff>76200</xdr:rowOff>
    </xdr:to>
    <xdr:sp macro="" textlink="">
      <xdr:nvSpPr>
        <xdr:cNvPr id="3526" name="Line 351">
          <a:extLst>
            <a:ext uri="{FF2B5EF4-FFF2-40B4-BE49-F238E27FC236}">
              <a16:creationId xmlns:a16="http://schemas.microsoft.com/office/drawing/2014/main" id="{06EAE9B0-8452-EB72-C41D-379B8B18C109}"/>
            </a:ext>
          </a:extLst>
        </xdr:cNvPr>
        <xdr:cNvSpPr>
          <a:spLocks noChangeShapeType="1"/>
        </xdr:cNvSpPr>
      </xdr:nvSpPr>
      <xdr:spPr bwMode="auto">
        <a:xfrm>
          <a:off x="3733800" y="34699575"/>
          <a:ext cx="12192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0</xdr:colOff>
      <xdr:row>34</xdr:row>
      <xdr:rowOff>76200</xdr:rowOff>
    </xdr:from>
    <xdr:to>
      <xdr:col>17</xdr:col>
      <xdr:colOff>0</xdr:colOff>
      <xdr:row>47</xdr:row>
      <xdr:rowOff>76200</xdr:rowOff>
    </xdr:to>
    <xdr:sp macro="" textlink="">
      <xdr:nvSpPr>
        <xdr:cNvPr id="3527" name="Line 352">
          <a:extLst>
            <a:ext uri="{FF2B5EF4-FFF2-40B4-BE49-F238E27FC236}">
              <a16:creationId xmlns:a16="http://schemas.microsoft.com/office/drawing/2014/main" id="{F15ABAB3-374C-10CD-15B4-84A57B9169D0}"/>
            </a:ext>
          </a:extLst>
        </xdr:cNvPr>
        <xdr:cNvSpPr>
          <a:spLocks noChangeShapeType="1"/>
        </xdr:cNvSpPr>
      </xdr:nvSpPr>
      <xdr:spPr bwMode="auto">
        <a:xfrm>
          <a:off x="3486150" y="32223075"/>
          <a:ext cx="247650" cy="247650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23</xdr:col>
      <xdr:colOff>0</xdr:colOff>
      <xdr:row>20</xdr:row>
      <xdr:rowOff>0</xdr:rowOff>
    </xdr:from>
    <xdr:to>
      <xdr:col>24</xdr:col>
      <xdr:colOff>6570</xdr:colOff>
      <xdr:row>20</xdr:row>
      <xdr:rowOff>152400</xdr:rowOff>
    </xdr:to>
    <xdr:sp macro="" textlink="">
      <xdr:nvSpPr>
        <xdr:cNvPr id="3528" name="Triangle 4">
          <a:extLst>
            <a:ext uri="{FF2B5EF4-FFF2-40B4-BE49-F238E27FC236}">
              <a16:creationId xmlns:a16="http://schemas.microsoft.com/office/drawing/2014/main" id="{7587A55D-62A3-C6BE-8830-0C00B7A162AB}"/>
            </a:ext>
          </a:extLst>
        </xdr:cNvPr>
        <xdr:cNvSpPr/>
      </xdr:nvSpPr>
      <xdr:spPr>
        <a:xfrm rot="16200000">
          <a:off x="6572250" y="29479875"/>
          <a:ext cx="152400" cy="152400"/>
        </a:xfrm>
        <a:prstGeom prst="triangle">
          <a:avLst/>
        </a:prstGeom>
        <a:solidFill>
          <a:srgbClr val="00B0F0"/>
        </a:solidFill>
        <a:ln w="12700" cap="flat" cmpd="sng" algn="ctr">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21</xdr:col>
      <xdr:colOff>0</xdr:colOff>
      <xdr:row>20</xdr:row>
      <xdr:rowOff>76200</xdr:rowOff>
    </xdr:from>
    <xdr:to>
      <xdr:col>23</xdr:col>
      <xdr:colOff>0</xdr:colOff>
      <xdr:row>20</xdr:row>
      <xdr:rowOff>76200</xdr:rowOff>
    </xdr:to>
    <xdr:sp macro="" textlink="">
      <xdr:nvSpPr>
        <xdr:cNvPr id="3529" name="Line 353">
          <a:extLst>
            <a:ext uri="{FF2B5EF4-FFF2-40B4-BE49-F238E27FC236}">
              <a16:creationId xmlns:a16="http://schemas.microsoft.com/office/drawing/2014/main" id="{F8C1EE1B-D59C-EC42-6DC9-B912518EFAFB}"/>
            </a:ext>
          </a:extLst>
        </xdr:cNvPr>
        <xdr:cNvSpPr>
          <a:spLocks noChangeShapeType="1"/>
        </xdr:cNvSpPr>
      </xdr:nvSpPr>
      <xdr:spPr bwMode="auto">
        <a:xfrm>
          <a:off x="5353050" y="29556075"/>
          <a:ext cx="12192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0</xdr:colOff>
      <xdr:row>20</xdr:row>
      <xdr:rowOff>76200</xdr:rowOff>
    </xdr:from>
    <xdr:to>
      <xdr:col>21</xdr:col>
      <xdr:colOff>0</xdr:colOff>
      <xdr:row>22</xdr:row>
      <xdr:rowOff>76200</xdr:rowOff>
    </xdr:to>
    <xdr:sp macro="" textlink="">
      <xdr:nvSpPr>
        <xdr:cNvPr id="3530" name="Line 354">
          <a:extLst>
            <a:ext uri="{FF2B5EF4-FFF2-40B4-BE49-F238E27FC236}">
              <a16:creationId xmlns:a16="http://schemas.microsoft.com/office/drawing/2014/main" id="{EDEF00DA-6421-197A-D186-0CA87C176E75}"/>
            </a:ext>
          </a:extLst>
        </xdr:cNvPr>
        <xdr:cNvSpPr>
          <a:spLocks noChangeShapeType="1"/>
        </xdr:cNvSpPr>
      </xdr:nvSpPr>
      <xdr:spPr bwMode="auto">
        <a:xfrm flipV="1">
          <a:off x="5105400" y="29556075"/>
          <a:ext cx="247650" cy="38100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23</xdr:col>
      <xdr:colOff>0</xdr:colOff>
      <xdr:row>25</xdr:row>
      <xdr:rowOff>0</xdr:rowOff>
    </xdr:from>
    <xdr:to>
      <xdr:col>24</xdr:col>
      <xdr:colOff>6570</xdr:colOff>
      <xdr:row>25</xdr:row>
      <xdr:rowOff>152400</xdr:rowOff>
    </xdr:to>
    <xdr:sp macro="" textlink="">
      <xdr:nvSpPr>
        <xdr:cNvPr id="3531" name="Triangle 5">
          <a:extLst>
            <a:ext uri="{FF2B5EF4-FFF2-40B4-BE49-F238E27FC236}">
              <a16:creationId xmlns:a16="http://schemas.microsoft.com/office/drawing/2014/main" id="{481055A9-982A-F3A6-8CA2-540D1D2A3A1A}"/>
            </a:ext>
          </a:extLst>
        </xdr:cNvPr>
        <xdr:cNvSpPr/>
      </xdr:nvSpPr>
      <xdr:spPr>
        <a:xfrm rot="16200000">
          <a:off x="6572250" y="30432375"/>
          <a:ext cx="152400" cy="152400"/>
        </a:xfrm>
        <a:prstGeom prst="triangle">
          <a:avLst/>
        </a:prstGeom>
        <a:solidFill>
          <a:srgbClr val="00B0F0"/>
        </a:solidFill>
        <a:ln w="12700" cap="flat" cmpd="sng" algn="ctr">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21</xdr:col>
      <xdr:colOff>0</xdr:colOff>
      <xdr:row>25</xdr:row>
      <xdr:rowOff>76200</xdr:rowOff>
    </xdr:from>
    <xdr:to>
      <xdr:col>23</xdr:col>
      <xdr:colOff>0</xdr:colOff>
      <xdr:row>25</xdr:row>
      <xdr:rowOff>76200</xdr:rowOff>
    </xdr:to>
    <xdr:sp macro="" textlink="">
      <xdr:nvSpPr>
        <xdr:cNvPr id="3532" name="Line 355">
          <a:extLst>
            <a:ext uri="{FF2B5EF4-FFF2-40B4-BE49-F238E27FC236}">
              <a16:creationId xmlns:a16="http://schemas.microsoft.com/office/drawing/2014/main" id="{72DAE030-6BE6-66F2-2BB8-3CFB05E40CDD}"/>
            </a:ext>
          </a:extLst>
        </xdr:cNvPr>
        <xdr:cNvSpPr>
          <a:spLocks noChangeShapeType="1"/>
        </xdr:cNvSpPr>
      </xdr:nvSpPr>
      <xdr:spPr bwMode="auto">
        <a:xfrm>
          <a:off x="5353050" y="30508575"/>
          <a:ext cx="12192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0</xdr:colOff>
      <xdr:row>22</xdr:row>
      <xdr:rowOff>76200</xdr:rowOff>
    </xdr:from>
    <xdr:to>
      <xdr:col>21</xdr:col>
      <xdr:colOff>0</xdr:colOff>
      <xdr:row>25</xdr:row>
      <xdr:rowOff>76200</xdr:rowOff>
    </xdr:to>
    <xdr:sp macro="" textlink="">
      <xdr:nvSpPr>
        <xdr:cNvPr id="3533" name="Line 356">
          <a:extLst>
            <a:ext uri="{FF2B5EF4-FFF2-40B4-BE49-F238E27FC236}">
              <a16:creationId xmlns:a16="http://schemas.microsoft.com/office/drawing/2014/main" id="{BA874E1A-64D3-C713-7C82-689FEAA31E33}"/>
            </a:ext>
          </a:extLst>
        </xdr:cNvPr>
        <xdr:cNvSpPr>
          <a:spLocks noChangeShapeType="1"/>
        </xdr:cNvSpPr>
      </xdr:nvSpPr>
      <xdr:spPr bwMode="auto">
        <a:xfrm>
          <a:off x="5105400" y="29937075"/>
          <a:ext cx="247650" cy="57150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23</xdr:col>
      <xdr:colOff>0</xdr:colOff>
      <xdr:row>30</xdr:row>
      <xdr:rowOff>0</xdr:rowOff>
    </xdr:from>
    <xdr:to>
      <xdr:col>24</xdr:col>
      <xdr:colOff>6570</xdr:colOff>
      <xdr:row>30</xdr:row>
      <xdr:rowOff>152400</xdr:rowOff>
    </xdr:to>
    <xdr:sp macro="" textlink="">
      <xdr:nvSpPr>
        <xdr:cNvPr id="3534" name="Triangle 6">
          <a:extLst>
            <a:ext uri="{FF2B5EF4-FFF2-40B4-BE49-F238E27FC236}">
              <a16:creationId xmlns:a16="http://schemas.microsoft.com/office/drawing/2014/main" id="{33FFF61C-B64B-CC77-DF27-C8D590D2FE1A}"/>
            </a:ext>
          </a:extLst>
        </xdr:cNvPr>
        <xdr:cNvSpPr/>
      </xdr:nvSpPr>
      <xdr:spPr>
        <a:xfrm rot="16200000">
          <a:off x="6572250" y="31384875"/>
          <a:ext cx="152400" cy="152400"/>
        </a:xfrm>
        <a:prstGeom prst="triangle">
          <a:avLst/>
        </a:prstGeom>
        <a:solidFill>
          <a:srgbClr val="00B0F0"/>
        </a:solidFill>
        <a:ln w="12700" cap="flat" cmpd="sng" algn="ctr">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21</xdr:col>
      <xdr:colOff>0</xdr:colOff>
      <xdr:row>30</xdr:row>
      <xdr:rowOff>76200</xdr:rowOff>
    </xdr:from>
    <xdr:to>
      <xdr:col>23</xdr:col>
      <xdr:colOff>0</xdr:colOff>
      <xdr:row>30</xdr:row>
      <xdr:rowOff>76200</xdr:rowOff>
    </xdr:to>
    <xdr:sp macro="" textlink="">
      <xdr:nvSpPr>
        <xdr:cNvPr id="3535" name="Line 357">
          <a:extLst>
            <a:ext uri="{FF2B5EF4-FFF2-40B4-BE49-F238E27FC236}">
              <a16:creationId xmlns:a16="http://schemas.microsoft.com/office/drawing/2014/main" id="{0C14CF45-5A95-1243-4FD0-57BD042F405E}"/>
            </a:ext>
          </a:extLst>
        </xdr:cNvPr>
        <xdr:cNvSpPr>
          <a:spLocks noChangeShapeType="1"/>
        </xdr:cNvSpPr>
      </xdr:nvSpPr>
      <xdr:spPr bwMode="auto">
        <a:xfrm>
          <a:off x="5353050" y="31461075"/>
          <a:ext cx="12192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0</xdr:colOff>
      <xdr:row>30</xdr:row>
      <xdr:rowOff>76200</xdr:rowOff>
    </xdr:from>
    <xdr:to>
      <xdr:col>21</xdr:col>
      <xdr:colOff>0</xdr:colOff>
      <xdr:row>32</xdr:row>
      <xdr:rowOff>76200</xdr:rowOff>
    </xdr:to>
    <xdr:sp macro="" textlink="">
      <xdr:nvSpPr>
        <xdr:cNvPr id="3536" name="Line 358">
          <a:extLst>
            <a:ext uri="{FF2B5EF4-FFF2-40B4-BE49-F238E27FC236}">
              <a16:creationId xmlns:a16="http://schemas.microsoft.com/office/drawing/2014/main" id="{51F15BB9-87BD-53D0-DD01-FD207277D6CB}"/>
            </a:ext>
          </a:extLst>
        </xdr:cNvPr>
        <xdr:cNvSpPr>
          <a:spLocks noChangeShapeType="1"/>
        </xdr:cNvSpPr>
      </xdr:nvSpPr>
      <xdr:spPr bwMode="auto">
        <a:xfrm flipV="1">
          <a:off x="5105400" y="31461075"/>
          <a:ext cx="247650" cy="38100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23</xdr:col>
      <xdr:colOff>0</xdr:colOff>
      <xdr:row>35</xdr:row>
      <xdr:rowOff>0</xdr:rowOff>
    </xdr:from>
    <xdr:to>
      <xdr:col>24</xdr:col>
      <xdr:colOff>6570</xdr:colOff>
      <xdr:row>35</xdr:row>
      <xdr:rowOff>152400</xdr:rowOff>
    </xdr:to>
    <xdr:sp macro="" textlink="">
      <xdr:nvSpPr>
        <xdr:cNvPr id="3537" name="Triangle 7">
          <a:extLst>
            <a:ext uri="{FF2B5EF4-FFF2-40B4-BE49-F238E27FC236}">
              <a16:creationId xmlns:a16="http://schemas.microsoft.com/office/drawing/2014/main" id="{173964BC-3B10-A55E-9A20-6EF08966F08B}"/>
            </a:ext>
          </a:extLst>
        </xdr:cNvPr>
        <xdr:cNvSpPr/>
      </xdr:nvSpPr>
      <xdr:spPr>
        <a:xfrm rot="16200000">
          <a:off x="6572250" y="32337375"/>
          <a:ext cx="152400" cy="152400"/>
        </a:xfrm>
        <a:prstGeom prst="triangle">
          <a:avLst/>
        </a:prstGeom>
        <a:solidFill>
          <a:srgbClr val="00B0F0"/>
        </a:solidFill>
        <a:ln w="12700" cap="flat" cmpd="sng" algn="ctr">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21</xdr:col>
      <xdr:colOff>0</xdr:colOff>
      <xdr:row>35</xdr:row>
      <xdr:rowOff>76200</xdr:rowOff>
    </xdr:from>
    <xdr:to>
      <xdr:col>23</xdr:col>
      <xdr:colOff>0</xdr:colOff>
      <xdr:row>35</xdr:row>
      <xdr:rowOff>76200</xdr:rowOff>
    </xdr:to>
    <xdr:sp macro="" textlink="">
      <xdr:nvSpPr>
        <xdr:cNvPr id="3538" name="Line 359">
          <a:extLst>
            <a:ext uri="{FF2B5EF4-FFF2-40B4-BE49-F238E27FC236}">
              <a16:creationId xmlns:a16="http://schemas.microsoft.com/office/drawing/2014/main" id="{1348EB0F-730F-99DE-B293-8AE3336C5D89}"/>
            </a:ext>
          </a:extLst>
        </xdr:cNvPr>
        <xdr:cNvSpPr>
          <a:spLocks noChangeShapeType="1"/>
        </xdr:cNvSpPr>
      </xdr:nvSpPr>
      <xdr:spPr bwMode="auto">
        <a:xfrm>
          <a:off x="5353050" y="32413575"/>
          <a:ext cx="12192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0</xdr:colOff>
      <xdr:row>32</xdr:row>
      <xdr:rowOff>76200</xdr:rowOff>
    </xdr:from>
    <xdr:to>
      <xdr:col>21</xdr:col>
      <xdr:colOff>0</xdr:colOff>
      <xdr:row>35</xdr:row>
      <xdr:rowOff>76200</xdr:rowOff>
    </xdr:to>
    <xdr:sp macro="" textlink="">
      <xdr:nvSpPr>
        <xdr:cNvPr id="3539" name="Line 360">
          <a:extLst>
            <a:ext uri="{FF2B5EF4-FFF2-40B4-BE49-F238E27FC236}">
              <a16:creationId xmlns:a16="http://schemas.microsoft.com/office/drawing/2014/main" id="{EF9393F1-8532-2AEC-A998-6083512E6D0A}"/>
            </a:ext>
          </a:extLst>
        </xdr:cNvPr>
        <xdr:cNvSpPr>
          <a:spLocks noChangeShapeType="1"/>
        </xdr:cNvSpPr>
      </xdr:nvSpPr>
      <xdr:spPr bwMode="auto">
        <a:xfrm>
          <a:off x="5105400" y="31842075"/>
          <a:ext cx="247650" cy="57150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23</xdr:col>
      <xdr:colOff>0</xdr:colOff>
      <xdr:row>40</xdr:row>
      <xdr:rowOff>0</xdr:rowOff>
    </xdr:from>
    <xdr:to>
      <xdr:col>24</xdr:col>
      <xdr:colOff>6570</xdr:colOff>
      <xdr:row>40</xdr:row>
      <xdr:rowOff>152400</xdr:rowOff>
    </xdr:to>
    <xdr:sp macro="" textlink="">
      <xdr:nvSpPr>
        <xdr:cNvPr id="3540" name="Triangle 8">
          <a:extLst>
            <a:ext uri="{FF2B5EF4-FFF2-40B4-BE49-F238E27FC236}">
              <a16:creationId xmlns:a16="http://schemas.microsoft.com/office/drawing/2014/main" id="{1FD0A417-97C8-CFF8-BAD8-DC33E1540144}"/>
            </a:ext>
          </a:extLst>
        </xdr:cNvPr>
        <xdr:cNvSpPr/>
      </xdr:nvSpPr>
      <xdr:spPr>
        <a:xfrm rot="16200000">
          <a:off x="6572250" y="33289875"/>
          <a:ext cx="152400" cy="152400"/>
        </a:xfrm>
        <a:prstGeom prst="triangle">
          <a:avLst/>
        </a:prstGeom>
        <a:solidFill>
          <a:srgbClr val="00B0F0"/>
        </a:solidFill>
        <a:ln w="12700" cap="flat" cmpd="sng" algn="ctr">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21</xdr:col>
      <xdr:colOff>0</xdr:colOff>
      <xdr:row>40</xdr:row>
      <xdr:rowOff>76200</xdr:rowOff>
    </xdr:from>
    <xdr:to>
      <xdr:col>23</xdr:col>
      <xdr:colOff>0</xdr:colOff>
      <xdr:row>40</xdr:row>
      <xdr:rowOff>76200</xdr:rowOff>
    </xdr:to>
    <xdr:sp macro="" textlink="">
      <xdr:nvSpPr>
        <xdr:cNvPr id="3541" name="Line 361">
          <a:extLst>
            <a:ext uri="{FF2B5EF4-FFF2-40B4-BE49-F238E27FC236}">
              <a16:creationId xmlns:a16="http://schemas.microsoft.com/office/drawing/2014/main" id="{244B1874-3DEB-F22A-6E47-7D49E0770469}"/>
            </a:ext>
          </a:extLst>
        </xdr:cNvPr>
        <xdr:cNvSpPr>
          <a:spLocks noChangeShapeType="1"/>
        </xdr:cNvSpPr>
      </xdr:nvSpPr>
      <xdr:spPr bwMode="auto">
        <a:xfrm>
          <a:off x="5353050" y="33366075"/>
          <a:ext cx="12192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0</xdr:colOff>
      <xdr:row>40</xdr:row>
      <xdr:rowOff>76200</xdr:rowOff>
    </xdr:from>
    <xdr:to>
      <xdr:col>21</xdr:col>
      <xdr:colOff>0</xdr:colOff>
      <xdr:row>47</xdr:row>
      <xdr:rowOff>76200</xdr:rowOff>
    </xdr:to>
    <xdr:sp macro="" textlink="">
      <xdr:nvSpPr>
        <xdr:cNvPr id="3542" name="Line 362">
          <a:extLst>
            <a:ext uri="{FF2B5EF4-FFF2-40B4-BE49-F238E27FC236}">
              <a16:creationId xmlns:a16="http://schemas.microsoft.com/office/drawing/2014/main" id="{213C2FDE-CEEE-287C-848B-A9BDED9EC8C5}"/>
            </a:ext>
          </a:extLst>
        </xdr:cNvPr>
        <xdr:cNvSpPr>
          <a:spLocks noChangeShapeType="1"/>
        </xdr:cNvSpPr>
      </xdr:nvSpPr>
      <xdr:spPr bwMode="auto">
        <a:xfrm flipV="1">
          <a:off x="5105400" y="33366075"/>
          <a:ext cx="247650" cy="133350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23</xdr:col>
      <xdr:colOff>0</xdr:colOff>
      <xdr:row>45</xdr:row>
      <xdr:rowOff>0</xdr:rowOff>
    </xdr:from>
    <xdr:to>
      <xdr:col>24</xdr:col>
      <xdr:colOff>6570</xdr:colOff>
      <xdr:row>45</xdr:row>
      <xdr:rowOff>152400</xdr:rowOff>
    </xdr:to>
    <xdr:sp macro="" textlink="">
      <xdr:nvSpPr>
        <xdr:cNvPr id="3543" name="Triangle 9">
          <a:extLst>
            <a:ext uri="{FF2B5EF4-FFF2-40B4-BE49-F238E27FC236}">
              <a16:creationId xmlns:a16="http://schemas.microsoft.com/office/drawing/2014/main" id="{716BAC85-19F5-8955-B260-82C1AFEC334B}"/>
            </a:ext>
          </a:extLst>
        </xdr:cNvPr>
        <xdr:cNvSpPr/>
      </xdr:nvSpPr>
      <xdr:spPr>
        <a:xfrm rot="16200000">
          <a:off x="6572250" y="34242375"/>
          <a:ext cx="152400" cy="152400"/>
        </a:xfrm>
        <a:prstGeom prst="triangle">
          <a:avLst/>
        </a:prstGeom>
        <a:solidFill>
          <a:srgbClr val="00B0F0"/>
        </a:solidFill>
        <a:ln w="12700" cap="flat" cmpd="sng" algn="ctr">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21</xdr:col>
      <xdr:colOff>0</xdr:colOff>
      <xdr:row>45</xdr:row>
      <xdr:rowOff>76200</xdr:rowOff>
    </xdr:from>
    <xdr:to>
      <xdr:col>23</xdr:col>
      <xdr:colOff>0</xdr:colOff>
      <xdr:row>45</xdr:row>
      <xdr:rowOff>76200</xdr:rowOff>
    </xdr:to>
    <xdr:sp macro="" textlink="">
      <xdr:nvSpPr>
        <xdr:cNvPr id="3544" name="Line 363">
          <a:extLst>
            <a:ext uri="{FF2B5EF4-FFF2-40B4-BE49-F238E27FC236}">
              <a16:creationId xmlns:a16="http://schemas.microsoft.com/office/drawing/2014/main" id="{846E54B0-50B1-AF69-EBC3-43A5EB64FE17}"/>
            </a:ext>
          </a:extLst>
        </xdr:cNvPr>
        <xdr:cNvSpPr>
          <a:spLocks noChangeShapeType="1"/>
        </xdr:cNvSpPr>
      </xdr:nvSpPr>
      <xdr:spPr bwMode="auto">
        <a:xfrm>
          <a:off x="5353050" y="34318575"/>
          <a:ext cx="12192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0</xdr:colOff>
      <xdr:row>45</xdr:row>
      <xdr:rowOff>76200</xdr:rowOff>
    </xdr:from>
    <xdr:to>
      <xdr:col>21</xdr:col>
      <xdr:colOff>0</xdr:colOff>
      <xdr:row>47</xdr:row>
      <xdr:rowOff>76200</xdr:rowOff>
    </xdr:to>
    <xdr:sp macro="" textlink="">
      <xdr:nvSpPr>
        <xdr:cNvPr id="3545" name="Line 364">
          <a:extLst>
            <a:ext uri="{FF2B5EF4-FFF2-40B4-BE49-F238E27FC236}">
              <a16:creationId xmlns:a16="http://schemas.microsoft.com/office/drawing/2014/main" id="{5BC3C6A9-0807-A8CC-92EE-060A2C699721}"/>
            </a:ext>
          </a:extLst>
        </xdr:cNvPr>
        <xdr:cNvSpPr>
          <a:spLocks noChangeShapeType="1"/>
        </xdr:cNvSpPr>
      </xdr:nvSpPr>
      <xdr:spPr bwMode="auto">
        <a:xfrm flipV="1">
          <a:off x="5105400" y="34318575"/>
          <a:ext cx="247650" cy="38100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23</xdr:col>
      <xdr:colOff>0</xdr:colOff>
      <xdr:row>50</xdr:row>
      <xdr:rowOff>0</xdr:rowOff>
    </xdr:from>
    <xdr:to>
      <xdr:col>24</xdr:col>
      <xdr:colOff>6570</xdr:colOff>
      <xdr:row>50</xdr:row>
      <xdr:rowOff>152400</xdr:rowOff>
    </xdr:to>
    <xdr:sp macro="" textlink="">
      <xdr:nvSpPr>
        <xdr:cNvPr id="3546" name="Triangle 10">
          <a:extLst>
            <a:ext uri="{FF2B5EF4-FFF2-40B4-BE49-F238E27FC236}">
              <a16:creationId xmlns:a16="http://schemas.microsoft.com/office/drawing/2014/main" id="{E2CB476B-0622-724C-3262-F5B4576FB6F2}"/>
            </a:ext>
          </a:extLst>
        </xdr:cNvPr>
        <xdr:cNvSpPr/>
      </xdr:nvSpPr>
      <xdr:spPr>
        <a:xfrm rot="16200000">
          <a:off x="6572250" y="35194875"/>
          <a:ext cx="152400" cy="152400"/>
        </a:xfrm>
        <a:prstGeom prst="triangle">
          <a:avLst/>
        </a:prstGeom>
        <a:solidFill>
          <a:srgbClr val="00B0F0"/>
        </a:solidFill>
        <a:ln w="12700" cap="flat" cmpd="sng" algn="ctr">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21</xdr:col>
      <xdr:colOff>0</xdr:colOff>
      <xdr:row>50</xdr:row>
      <xdr:rowOff>76200</xdr:rowOff>
    </xdr:from>
    <xdr:to>
      <xdr:col>23</xdr:col>
      <xdr:colOff>0</xdr:colOff>
      <xdr:row>50</xdr:row>
      <xdr:rowOff>76200</xdr:rowOff>
    </xdr:to>
    <xdr:sp macro="" textlink="">
      <xdr:nvSpPr>
        <xdr:cNvPr id="3547" name="Line 365">
          <a:extLst>
            <a:ext uri="{FF2B5EF4-FFF2-40B4-BE49-F238E27FC236}">
              <a16:creationId xmlns:a16="http://schemas.microsoft.com/office/drawing/2014/main" id="{8BC5E184-1E12-414F-3060-7FF93DE4C478}"/>
            </a:ext>
          </a:extLst>
        </xdr:cNvPr>
        <xdr:cNvSpPr>
          <a:spLocks noChangeShapeType="1"/>
        </xdr:cNvSpPr>
      </xdr:nvSpPr>
      <xdr:spPr bwMode="auto">
        <a:xfrm>
          <a:off x="5353050" y="35271075"/>
          <a:ext cx="12192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0</xdr:colOff>
      <xdr:row>47</xdr:row>
      <xdr:rowOff>76200</xdr:rowOff>
    </xdr:from>
    <xdr:to>
      <xdr:col>21</xdr:col>
      <xdr:colOff>0</xdr:colOff>
      <xdr:row>50</xdr:row>
      <xdr:rowOff>76200</xdr:rowOff>
    </xdr:to>
    <xdr:sp macro="" textlink="">
      <xdr:nvSpPr>
        <xdr:cNvPr id="3548" name="Line 366">
          <a:extLst>
            <a:ext uri="{FF2B5EF4-FFF2-40B4-BE49-F238E27FC236}">
              <a16:creationId xmlns:a16="http://schemas.microsoft.com/office/drawing/2014/main" id="{77B667FB-E6C5-A40D-4D36-87CE72C0CF72}"/>
            </a:ext>
          </a:extLst>
        </xdr:cNvPr>
        <xdr:cNvSpPr>
          <a:spLocks noChangeShapeType="1"/>
        </xdr:cNvSpPr>
      </xdr:nvSpPr>
      <xdr:spPr bwMode="auto">
        <a:xfrm>
          <a:off x="5105400" y="34699575"/>
          <a:ext cx="247650" cy="57150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23</xdr:col>
      <xdr:colOff>0</xdr:colOff>
      <xdr:row>55</xdr:row>
      <xdr:rowOff>0</xdr:rowOff>
    </xdr:from>
    <xdr:to>
      <xdr:col>24</xdr:col>
      <xdr:colOff>6570</xdr:colOff>
      <xdr:row>55</xdr:row>
      <xdr:rowOff>152400</xdr:rowOff>
    </xdr:to>
    <xdr:sp macro="" textlink="">
      <xdr:nvSpPr>
        <xdr:cNvPr id="3549" name="Triangle 11">
          <a:extLst>
            <a:ext uri="{FF2B5EF4-FFF2-40B4-BE49-F238E27FC236}">
              <a16:creationId xmlns:a16="http://schemas.microsoft.com/office/drawing/2014/main" id="{A782020B-AC2E-A0ED-09BD-59D8212C1A34}"/>
            </a:ext>
          </a:extLst>
        </xdr:cNvPr>
        <xdr:cNvSpPr/>
      </xdr:nvSpPr>
      <xdr:spPr>
        <a:xfrm rot="16200000">
          <a:off x="6572250" y="36147375"/>
          <a:ext cx="152400" cy="152400"/>
        </a:xfrm>
        <a:prstGeom prst="triangle">
          <a:avLst/>
        </a:prstGeom>
        <a:solidFill>
          <a:srgbClr val="00B0F0"/>
        </a:solidFill>
        <a:ln w="12700" cap="flat" cmpd="sng" algn="ctr">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21</xdr:col>
      <xdr:colOff>0</xdr:colOff>
      <xdr:row>55</xdr:row>
      <xdr:rowOff>76200</xdr:rowOff>
    </xdr:from>
    <xdr:to>
      <xdr:col>23</xdr:col>
      <xdr:colOff>0</xdr:colOff>
      <xdr:row>55</xdr:row>
      <xdr:rowOff>76200</xdr:rowOff>
    </xdr:to>
    <xdr:sp macro="" textlink="">
      <xdr:nvSpPr>
        <xdr:cNvPr id="3550" name="Line 367">
          <a:extLst>
            <a:ext uri="{FF2B5EF4-FFF2-40B4-BE49-F238E27FC236}">
              <a16:creationId xmlns:a16="http://schemas.microsoft.com/office/drawing/2014/main" id="{82163D9F-387E-B943-6C5A-6346EEF1C4D1}"/>
            </a:ext>
          </a:extLst>
        </xdr:cNvPr>
        <xdr:cNvSpPr>
          <a:spLocks noChangeShapeType="1"/>
        </xdr:cNvSpPr>
      </xdr:nvSpPr>
      <xdr:spPr bwMode="auto">
        <a:xfrm>
          <a:off x="5353050" y="36223575"/>
          <a:ext cx="12192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0</xdr:colOff>
      <xdr:row>47</xdr:row>
      <xdr:rowOff>76200</xdr:rowOff>
    </xdr:from>
    <xdr:to>
      <xdr:col>21</xdr:col>
      <xdr:colOff>0</xdr:colOff>
      <xdr:row>55</xdr:row>
      <xdr:rowOff>76200</xdr:rowOff>
    </xdr:to>
    <xdr:sp macro="" textlink="">
      <xdr:nvSpPr>
        <xdr:cNvPr id="3551" name="Line 368">
          <a:extLst>
            <a:ext uri="{FF2B5EF4-FFF2-40B4-BE49-F238E27FC236}">
              <a16:creationId xmlns:a16="http://schemas.microsoft.com/office/drawing/2014/main" id="{0155E2B2-8564-EC0D-2699-E02E718CCFD3}"/>
            </a:ext>
          </a:extLst>
        </xdr:cNvPr>
        <xdr:cNvSpPr>
          <a:spLocks noChangeShapeType="1"/>
        </xdr:cNvSpPr>
      </xdr:nvSpPr>
      <xdr:spPr bwMode="auto">
        <a:xfrm>
          <a:off x="5105400" y="34699575"/>
          <a:ext cx="247650" cy="152400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0</xdr:colOff>
      <xdr:row>34</xdr:row>
      <xdr:rowOff>76200</xdr:rowOff>
    </xdr:from>
    <xdr:to>
      <xdr:col>15</xdr:col>
      <xdr:colOff>0</xdr:colOff>
      <xdr:row>34</xdr:row>
      <xdr:rowOff>76200</xdr:rowOff>
    </xdr:to>
    <xdr:sp macro="" textlink="">
      <xdr:nvSpPr>
        <xdr:cNvPr id="3553" name="Line 369">
          <a:extLst>
            <a:ext uri="{FF2B5EF4-FFF2-40B4-BE49-F238E27FC236}">
              <a16:creationId xmlns:a16="http://schemas.microsoft.com/office/drawing/2014/main" id="{EE9D353C-5057-3359-BDCF-30232F315C8E}"/>
            </a:ext>
          </a:extLst>
        </xdr:cNvPr>
        <xdr:cNvSpPr>
          <a:spLocks noChangeShapeType="1"/>
        </xdr:cNvSpPr>
      </xdr:nvSpPr>
      <xdr:spPr bwMode="auto">
        <a:xfrm>
          <a:off x="2724150" y="32223075"/>
          <a:ext cx="6096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0</xdr:colOff>
      <xdr:row>22</xdr:row>
      <xdr:rowOff>0</xdr:rowOff>
    </xdr:from>
    <xdr:to>
      <xdr:col>20</xdr:col>
      <xdr:colOff>52552</xdr:colOff>
      <xdr:row>22</xdr:row>
      <xdr:rowOff>152400</xdr:rowOff>
    </xdr:to>
    <xdr:sp macro="" textlink="">
      <xdr:nvSpPr>
        <xdr:cNvPr id="3519" name="Circle 1">
          <a:extLst>
            <a:ext uri="{FF2B5EF4-FFF2-40B4-BE49-F238E27FC236}">
              <a16:creationId xmlns:a16="http://schemas.microsoft.com/office/drawing/2014/main" id="{F0981326-C3E0-7109-61F6-11DA235D31AE}"/>
            </a:ext>
          </a:extLst>
        </xdr:cNvPr>
        <xdr:cNvSpPr/>
      </xdr:nvSpPr>
      <xdr:spPr>
        <a:xfrm>
          <a:off x="4953000" y="29860875"/>
          <a:ext cx="152400" cy="152400"/>
        </a:xfrm>
        <a:prstGeom prst="ellipse">
          <a:avLst/>
        </a:prstGeom>
        <a:solidFill>
          <a:srgbClr val="00FF00"/>
        </a:solidFill>
        <a:ln w="12700" cap="flat" cmpd="sng" algn="ctr">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19</xdr:col>
      <xdr:colOff>0</xdr:colOff>
      <xdr:row>32</xdr:row>
      <xdr:rowOff>0</xdr:rowOff>
    </xdr:from>
    <xdr:to>
      <xdr:col>20</xdr:col>
      <xdr:colOff>52552</xdr:colOff>
      <xdr:row>32</xdr:row>
      <xdr:rowOff>152400</xdr:rowOff>
    </xdr:to>
    <xdr:sp macro="" textlink="">
      <xdr:nvSpPr>
        <xdr:cNvPr id="3522" name="Circle 2">
          <a:extLst>
            <a:ext uri="{FF2B5EF4-FFF2-40B4-BE49-F238E27FC236}">
              <a16:creationId xmlns:a16="http://schemas.microsoft.com/office/drawing/2014/main" id="{06B97B41-5C87-0D0D-0CDF-25CF9189F2F4}"/>
            </a:ext>
          </a:extLst>
        </xdr:cNvPr>
        <xdr:cNvSpPr/>
      </xdr:nvSpPr>
      <xdr:spPr>
        <a:xfrm>
          <a:off x="4953000" y="31765875"/>
          <a:ext cx="152400" cy="152400"/>
        </a:xfrm>
        <a:prstGeom prst="ellipse">
          <a:avLst/>
        </a:prstGeom>
        <a:solidFill>
          <a:srgbClr val="00FF00"/>
        </a:solidFill>
        <a:ln w="12700" cap="flat" cmpd="sng" algn="ctr">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19</xdr:col>
      <xdr:colOff>0</xdr:colOff>
      <xdr:row>47</xdr:row>
      <xdr:rowOff>0</xdr:rowOff>
    </xdr:from>
    <xdr:to>
      <xdr:col>20</xdr:col>
      <xdr:colOff>52552</xdr:colOff>
      <xdr:row>47</xdr:row>
      <xdr:rowOff>152400</xdr:rowOff>
    </xdr:to>
    <xdr:sp macro="" textlink="">
      <xdr:nvSpPr>
        <xdr:cNvPr id="3525" name="Circle 3">
          <a:extLst>
            <a:ext uri="{FF2B5EF4-FFF2-40B4-BE49-F238E27FC236}">
              <a16:creationId xmlns:a16="http://schemas.microsoft.com/office/drawing/2014/main" id="{DE70AF67-A543-03A0-DDD0-C66C1A543327}"/>
            </a:ext>
          </a:extLst>
        </xdr:cNvPr>
        <xdr:cNvSpPr/>
      </xdr:nvSpPr>
      <xdr:spPr>
        <a:xfrm>
          <a:off x="4953000" y="34623375"/>
          <a:ext cx="152400" cy="152400"/>
        </a:xfrm>
        <a:prstGeom prst="ellipse">
          <a:avLst/>
        </a:prstGeom>
        <a:solidFill>
          <a:srgbClr val="00FF00"/>
        </a:solidFill>
        <a:ln w="12700" cap="flat" cmpd="sng" algn="ctr">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15</xdr:col>
      <xdr:colOff>0</xdr:colOff>
      <xdr:row>34</xdr:row>
      <xdr:rowOff>0</xdr:rowOff>
    </xdr:from>
    <xdr:to>
      <xdr:col>16</xdr:col>
      <xdr:colOff>19708</xdr:colOff>
      <xdr:row>34</xdr:row>
      <xdr:rowOff>152400</xdr:rowOff>
    </xdr:to>
    <xdr:sp macro="" textlink="">
      <xdr:nvSpPr>
        <xdr:cNvPr id="3552" name="Square 0">
          <a:extLst>
            <a:ext uri="{FF2B5EF4-FFF2-40B4-BE49-F238E27FC236}">
              <a16:creationId xmlns:a16="http://schemas.microsoft.com/office/drawing/2014/main" id="{428ABDEE-442A-2DDA-3ECB-3EB75405B2BF}"/>
            </a:ext>
          </a:extLst>
        </xdr:cNvPr>
        <xdr:cNvSpPr/>
      </xdr:nvSpPr>
      <xdr:spPr>
        <a:xfrm>
          <a:off x="3333750" y="32146875"/>
          <a:ext cx="152400" cy="152400"/>
        </a:xfrm>
        <a:prstGeom prst="rect">
          <a:avLst/>
        </a:prstGeom>
        <a:solidFill>
          <a:srgbClr val="FFFF00">
            <a:alpha val="50000"/>
          </a:srgbClr>
        </a:solidFill>
        <a:ln w="12700" cap="flat" cmpd="sng" algn="ctr">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395654</xdr:colOff>
      <xdr:row>39</xdr:row>
      <xdr:rowOff>43962</xdr:rowOff>
    </xdr:from>
    <xdr:to>
      <xdr:col>4</xdr:col>
      <xdr:colOff>622788</xdr:colOff>
      <xdr:row>40</xdr:row>
      <xdr:rowOff>322385</xdr:rowOff>
    </xdr:to>
    <xdr:sp macro="" textlink="">
      <xdr:nvSpPr>
        <xdr:cNvPr id="2" name="Arrow: Chevron 1">
          <a:extLst>
            <a:ext uri="{FF2B5EF4-FFF2-40B4-BE49-F238E27FC236}">
              <a16:creationId xmlns:a16="http://schemas.microsoft.com/office/drawing/2014/main" id="{2F696632-A3C7-1D9D-2B3F-7DA916D8D273}"/>
            </a:ext>
          </a:extLst>
        </xdr:cNvPr>
        <xdr:cNvSpPr/>
      </xdr:nvSpPr>
      <xdr:spPr>
        <a:xfrm>
          <a:off x="4769827" y="10360270"/>
          <a:ext cx="227134" cy="659423"/>
        </a:xfrm>
        <a:prstGeom prst="chevron">
          <a:avLst/>
        </a:prstGeom>
        <a:noFill/>
        <a:ln w="9525" cap="flat" cmpd="sng" algn="ctr">
          <a:solidFill>
            <a:schemeClr val="accent6"/>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vertOverflow="clip" horzOverflow="clip" rtlCol="0" anchor="t"/>
        <a:lstStyle/>
        <a:p>
          <a:pPr algn="l"/>
          <a:endParaRPr lang="en-CA" sz="1100">
            <a:solidFill>
              <a:schemeClr val="tx1"/>
            </a:solidFill>
          </a:endParaRPr>
        </a:p>
      </xdr:txBody>
    </xdr:sp>
    <xdr:clientData/>
  </xdr:twoCellAnchor>
  <xdr:twoCellAnchor>
    <xdr:from>
      <xdr:col>4</xdr:col>
      <xdr:colOff>446942</xdr:colOff>
      <xdr:row>34</xdr:row>
      <xdr:rowOff>58615</xdr:rowOff>
    </xdr:from>
    <xdr:to>
      <xdr:col>5</xdr:col>
      <xdr:colOff>175846</xdr:colOff>
      <xdr:row>37</xdr:row>
      <xdr:rowOff>7327</xdr:rowOff>
    </xdr:to>
    <xdr:cxnSp macro="">
      <xdr:nvCxnSpPr>
        <xdr:cNvPr id="4" name="Straight Arrow Connector 3">
          <a:extLst>
            <a:ext uri="{FF2B5EF4-FFF2-40B4-BE49-F238E27FC236}">
              <a16:creationId xmlns:a16="http://schemas.microsoft.com/office/drawing/2014/main" id="{F112E9B4-835D-CFEE-2807-410D8678A3BB}"/>
            </a:ext>
          </a:extLst>
        </xdr:cNvPr>
        <xdr:cNvCxnSpPr/>
      </xdr:nvCxnSpPr>
      <xdr:spPr>
        <a:xfrm>
          <a:off x="4821115" y="9012115"/>
          <a:ext cx="688731" cy="7400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175846</xdr:colOff>
      <xdr:row>41</xdr:row>
      <xdr:rowOff>102577</xdr:rowOff>
    </xdr:from>
    <xdr:to>
      <xdr:col>5</xdr:col>
      <xdr:colOff>637442</xdr:colOff>
      <xdr:row>46</xdr:row>
      <xdr:rowOff>175846</xdr:rowOff>
    </xdr:to>
    <xdr:cxnSp macro="">
      <xdr:nvCxnSpPr>
        <xdr:cNvPr id="6" name="Straight Arrow Connector 5">
          <a:extLst>
            <a:ext uri="{FF2B5EF4-FFF2-40B4-BE49-F238E27FC236}">
              <a16:creationId xmlns:a16="http://schemas.microsoft.com/office/drawing/2014/main" id="{FE93DA44-8D66-7CA9-1BD5-42067F7302A7}"/>
            </a:ext>
          </a:extLst>
        </xdr:cNvPr>
        <xdr:cNvCxnSpPr/>
      </xdr:nvCxnSpPr>
      <xdr:spPr>
        <a:xfrm flipH="1">
          <a:off x="4550019" y="11180885"/>
          <a:ext cx="1421423" cy="101111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783979</xdr:colOff>
      <xdr:row>53</xdr:row>
      <xdr:rowOff>0</xdr:rowOff>
    </xdr:from>
    <xdr:to>
      <xdr:col>6</xdr:col>
      <xdr:colOff>1194287</xdr:colOff>
      <xdr:row>55</xdr:row>
      <xdr:rowOff>95250</xdr:rowOff>
    </xdr:to>
    <xdr:cxnSp macro="">
      <xdr:nvCxnSpPr>
        <xdr:cNvPr id="8" name="Straight Arrow Connector 7">
          <a:extLst>
            <a:ext uri="{FF2B5EF4-FFF2-40B4-BE49-F238E27FC236}">
              <a16:creationId xmlns:a16="http://schemas.microsoft.com/office/drawing/2014/main" id="{6184B9BD-706B-FBB5-7DF6-46C786C1C40E}"/>
            </a:ext>
          </a:extLst>
        </xdr:cNvPr>
        <xdr:cNvCxnSpPr/>
      </xdr:nvCxnSpPr>
      <xdr:spPr>
        <a:xfrm flipV="1">
          <a:off x="4059114" y="13752635"/>
          <a:ext cx="4242288" cy="476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175846</xdr:colOff>
      <xdr:row>54</xdr:row>
      <xdr:rowOff>87923</xdr:rowOff>
    </xdr:from>
    <xdr:to>
      <xdr:col>7</xdr:col>
      <xdr:colOff>835269</xdr:colOff>
      <xdr:row>56</xdr:row>
      <xdr:rowOff>95250</xdr:rowOff>
    </xdr:to>
    <xdr:cxnSp macro="">
      <xdr:nvCxnSpPr>
        <xdr:cNvPr id="11" name="Straight Arrow Connector 10">
          <a:extLst>
            <a:ext uri="{FF2B5EF4-FFF2-40B4-BE49-F238E27FC236}">
              <a16:creationId xmlns:a16="http://schemas.microsoft.com/office/drawing/2014/main" id="{BDD82D9B-50A5-6347-3E23-C9D4DACAEFD9}"/>
            </a:ext>
          </a:extLst>
        </xdr:cNvPr>
        <xdr:cNvCxnSpPr/>
      </xdr:nvCxnSpPr>
      <xdr:spPr>
        <a:xfrm flipV="1">
          <a:off x="4667250" y="14031058"/>
          <a:ext cx="4484077" cy="3956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439615</xdr:colOff>
      <xdr:row>58</xdr:row>
      <xdr:rowOff>117230</xdr:rowOff>
    </xdr:from>
    <xdr:to>
      <xdr:col>4</xdr:col>
      <xdr:colOff>666749</xdr:colOff>
      <xdr:row>60</xdr:row>
      <xdr:rowOff>249115</xdr:rowOff>
    </xdr:to>
    <xdr:sp macro="" textlink="">
      <xdr:nvSpPr>
        <xdr:cNvPr id="12" name="Arrow: Chevron 11">
          <a:extLst>
            <a:ext uri="{FF2B5EF4-FFF2-40B4-BE49-F238E27FC236}">
              <a16:creationId xmlns:a16="http://schemas.microsoft.com/office/drawing/2014/main" id="{6F11D775-09E8-4139-B965-8EAF96DD8040}"/>
            </a:ext>
          </a:extLst>
        </xdr:cNvPr>
        <xdr:cNvSpPr/>
      </xdr:nvSpPr>
      <xdr:spPr>
        <a:xfrm>
          <a:off x="4813788" y="14829692"/>
          <a:ext cx="227134" cy="659423"/>
        </a:xfrm>
        <a:prstGeom prst="chevron">
          <a:avLst/>
        </a:prstGeom>
        <a:noFill/>
        <a:ln w="9525" cap="flat" cmpd="sng" algn="ctr">
          <a:solidFill>
            <a:schemeClr val="accent6"/>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vertOverflow="clip" horzOverflow="clip" rtlCol="0" anchor="t"/>
        <a:lstStyle/>
        <a:p>
          <a:pPr algn="l"/>
          <a:endParaRPr lang="en-CA"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9</xdr:col>
      <xdr:colOff>0</xdr:colOff>
      <xdr:row>7</xdr:row>
      <xdr:rowOff>152400</xdr:rowOff>
    </xdr:to>
    <xdr:sp macro="" textlink="">
      <xdr:nvSpPr>
        <xdr:cNvPr id="2" name="Circle 1" descr="a0648205-4332-45d0-9bbd-a903e1e1654b">
          <a:extLst>
            <a:ext uri="{FF2B5EF4-FFF2-40B4-BE49-F238E27FC236}">
              <a16:creationId xmlns:a16="http://schemas.microsoft.com/office/drawing/2014/main" id="{F3C0BEF0-7BD2-43AC-9ABF-E62BBEA1BC09}"/>
            </a:ext>
          </a:extLst>
        </xdr:cNvPr>
        <xdr:cNvSpPr/>
      </xdr:nvSpPr>
      <xdr:spPr>
        <a:xfrm>
          <a:off x="4057650" y="3238500"/>
          <a:ext cx="152400" cy="152400"/>
        </a:xfrm>
        <a:prstGeom prst="ellipse">
          <a:avLst/>
        </a:prstGeom>
        <a:solidFill>
          <a:srgbClr val="00FF00"/>
        </a:solidFill>
        <a:ln w="12700" cap="flat" cmpd="sng" algn="ctr">
          <a:solidFill>
            <a:srgbClr xmlns:mc="http://schemas.openxmlformats.org/markup-compatibility/2006" xmlns:a14="http://schemas.microsoft.com/office/drawing/2010/main" val="000000" mc:Ignorable="a14" a14:legacySpreadsheetColorIndex="8"/>
          </a:solidFill>
          <a:prstDash val="solid"/>
          <a:miter lim="800000"/>
          <a:headEnd type="none" w="med" len="med"/>
          <a:tailEnd type="none" w="med" len="med"/>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6</xdr:col>
      <xdr:colOff>0</xdr:colOff>
      <xdr:row>7</xdr:row>
      <xdr:rowOff>76200</xdr:rowOff>
    </xdr:from>
    <xdr:to>
      <xdr:col>8</xdr:col>
      <xdr:colOff>0</xdr:colOff>
      <xdr:row>7</xdr:row>
      <xdr:rowOff>76200</xdr:rowOff>
    </xdr:to>
    <xdr:sp macro="" textlink="">
      <xdr:nvSpPr>
        <xdr:cNvPr id="3" name="Line 16">
          <a:extLst>
            <a:ext uri="{FF2B5EF4-FFF2-40B4-BE49-F238E27FC236}">
              <a16:creationId xmlns:a16="http://schemas.microsoft.com/office/drawing/2014/main" id="{717AE9CC-5C76-4233-AE2A-1B40C3BD730F}"/>
            </a:ext>
          </a:extLst>
        </xdr:cNvPr>
        <xdr:cNvSpPr>
          <a:spLocks noChangeShapeType="1"/>
        </xdr:cNvSpPr>
      </xdr:nvSpPr>
      <xdr:spPr bwMode="auto">
        <a:xfrm>
          <a:off x="2838450" y="3314700"/>
          <a:ext cx="12192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7</xdr:row>
      <xdr:rowOff>76200</xdr:rowOff>
    </xdr:from>
    <xdr:to>
      <xdr:col>6</xdr:col>
      <xdr:colOff>0</xdr:colOff>
      <xdr:row>12</xdr:row>
      <xdr:rowOff>76200</xdr:rowOff>
    </xdr:to>
    <xdr:sp macro="" textlink="">
      <xdr:nvSpPr>
        <xdr:cNvPr id="4" name="Line 17">
          <a:extLst>
            <a:ext uri="{FF2B5EF4-FFF2-40B4-BE49-F238E27FC236}">
              <a16:creationId xmlns:a16="http://schemas.microsoft.com/office/drawing/2014/main" id="{A7B61705-D57E-4D3E-8A5B-5DA974775F09}"/>
            </a:ext>
          </a:extLst>
        </xdr:cNvPr>
        <xdr:cNvSpPr>
          <a:spLocks noChangeShapeType="1"/>
        </xdr:cNvSpPr>
      </xdr:nvSpPr>
      <xdr:spPr bwMode="auto">
        <a:xfrm flipV="1">
          <a:off x="2590800" y="3314700"/>
          <a:ext cx="247650" cy="95250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8</xdr:col>
      <xdr:colOff>0</xdr:colOff>
      <xdr:row>17</xdr:row>
      <xdr:rowOff>0</xdr:rowOff>
    </xdr:from>
    <xdr:to>
      <xdr:col>9</xdr:col>
      <xdr:colOff>0</xdr:colOff>
      <xdr:row>17</xdr:row>
      <xdr:rowOff>152400</xdr:rowOff>
    </xdr:to>
    <xdr:sp macro="" textlink="">
      <xdr:nvSpPr>
        <xdr:cNvPr id="5" name="Circle 2" descr="578c4bd3-b373-4ced-9b6b-3f2a8a352b72">
          <a:extLst>
            <a:ext uri="{FF2B5EF4-FFF2-40B4-BE49-F238E27FC236}">
              <a16:creationId xmlns:a16="http://schemas.microsoft.com/office/drawing/2014/main" id="{0DDED2DE-BF59-4B0C-AA31-AF118D25760A}"/>
            </a:ext>
          </a:extLst>
        </xdr:cNvPr>
        <xdr:cNvSpPr/>
      </xdr:nvSpPr>
      <xdr:spPr>
        <a:xfrm>
          <a:off x="4057650" y="5143500"/>
          <a:ext cx="152400" cy="152400"/>
        </a:xfrm>
        <a:prstGeom prst="ellipse">
          <a:avLst/>
        </a:prstGeom>
        <a:solidFill>
          <a:srgbClr val="00FF00"/>
        </a:solidFill>
        <a:ln w="12700" cap="flat" cmpd="sng" algn="ctr">
          <a:solidFill>
            <a:srgbClr xmlns:mc="http://schemas.openxmlformats.org/markup-compatibility/2006" xmlns:a14="http://schemas.microsoft.com/office/drawing/2010/main" val="000000" mc:Ignorable="a14" a14:legacySpreadsheetColorIndex="8"/>
          </a:solidFill>
          <a:prstDash val="solid"/>
          <a:miter lim="800000"/>
          <a:headEnd type="none" w="med" len="med"/>
          <a:tailEnd type="none" w="med" len="med"/>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6</xdr:col>
      <xdr:colOff>0</xdr:colOff>
      <xdr:row>17</xdr:row>
      <xdr:rowOff>76200</xdr:rowOff>
    </xdr:from>
    <xdr:to>
      <xdr:col>8</xdr:col>
      <xdr:colOff>0</xdr:colOff>
      <xdr:row>17</xdr:row>
      <xdr:rowOff>76200</xdr:rowOff>
    </xdr:to>
    <xdr:sp macro="" textlink="">
      <xdr:nvSpPr>
        <xdr:cNvPr id="6" name="Line 18">
          <a:extLst>
            <a:ext uri="{FF2B5EF4-FFF2-40B4-BE49-F238E27FC236}">
              <a16:creationId xmlns:a16="http://schemas.microsoft.com/office/drawing/2014/main" id="{C5316CBF-8C84-4B0C-BFDC-5040701BD8EF}"/>
            </a:ext>
          </a:extLst>
        </xdr:cNvPr>
        <xdr:cNvSpPr>
          <a:spLocks noChangeShapeType="1"/>
        </xdr:cNvSpPr>
      </xdr:nvSpPr>
      <xdr:spPr bwMode="auto">
        <a:xfrm>
          <a:off x="2838450" y="5219700"/>
          <a:ext cx="12192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12</xdr:row>
      <xdr:rowOff>76200</xdr:rowOff>
    </xdr:from>
    <xdr:to>
      <xdr:col>6</xdr:col>
      <xdr:colOff>0</xdr:colOff>
      <xdr:row>17</xdr:row>
      <xdr:rowOff>76200</xdr:rowOff>
    </xdr:to>
    <xdr:sp macro="" textlink="">
      <xdr:nvSpPr>
        <xdr:cNvPr id="7" name="Line 19">
          <a:extLst>
            <a:ext uri="{FF2B5EF4-FFF2-40B4-BE49-F238E27FC236}">
              <a16:creationId xmlns:a16="http://schemas.microsoft.com/office/drawing/2014/main" id="{E09731EF-6B99-4060-B2EF-1A85FBCC3327}"/>
            </a:ext>
          </a:extLst>
        </xdr:cNvPr>
        <xdr:cNvSpPr>
          <a:spLocks noChangeShapeType="1"/>
        </xdr:cNvSpPr>
      </xdr:nvSpPr>
      <xdr:spPr bwMode="auto">
        <a:xfrm>
          <a:off x="2590800" y="4267200"/>
          <a:ext cx="247650" cy="95250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0</xdr:colOff>
      <xdr:row>5</xdr:row>
      <xdr:rowOff>0</xdr:rowOff>
    </xdr:from>
    <xdr:to>
      <xdr:col>12</xdr:col>
      <xdr:colOff>151086</xdr:colOff>
      <xdr:row>5</xdr:row>
      <xdr:rowOff>152400</xdr:rowOff>
    </xdr:to>
    <xdr:sp macro="" textlink="">
      <xdr:nvSpPr>
        <xdr:cNvPr id="8" name="Triangle 3" descr="36ef43e5-ca9a-4378-91b3-6e255eb7d679">
          <a:extLst>
            <a:ext uri="{FF2B5EF4-FFF2-40B4-BE49-F238E27FC236}">
              <a16:creationId xmlns:a16="http://schemas.microsoft.com/office/drawing/2014/main" id="{0E1CB412-07CB-4608-8BFB-D6D8C8524717}"/>
            </a:ext>
          </a:extLst>
        </xdr:cNvPr>
        <xdr:cNvSpPr/>
      </xdr:nvSpPr>
      <xdr:spPr>
        <a:xfrm rot="16200000">
          <a:off x="5676900" y="2857500"/>
          <a:ext cx="152400" cy="152400"/>
        </a:xfrm>
        <a:prstGeom prst="triangle">
          <a:avLst/>
        </a:prstGeom>
        <a:solidFill>
          <a:srgbClr val="00B0F0"/>
        </a:solidFill>
        <a:ln w="12700" cap="flat" cmpd="sng" algn="ctr">
          <a:solidFill>
            <a:srgbClr xmlns:mc="http://schemas.openxmlformats.org/markup-compatibility/2006" xmlns:a14="http://schemas.microsoft.com/office/drawing/2010/main" val="000000" mc:Ignorable="a14" a14:legacySpreadsheetColorIndex="8"/>
          </a:solidFill>
          <a:prstDash val="solid"/>
          <a:miter lim="800000"/>
          <a:headEnd type="none" w="med" len="med"/>
          <a:tailEnd type="none" w="med" len="med"/>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10</xdr:col>
      <xdr:colOff>0</xdr:colOff>
      <xdr:row>5</xdr:row>
      <xdr:rowOff>76200</xdr:rowOff>
    </xdr:from>
    <xdr:to>
      <xdr:col>12</xdr:col>
      <xdr:colOff>0</xdr:colOff>
      <xdr:row>5</xdr:row>
      <xdr:rowOff>76200</xdr:rowOff>
    </xdr:to>
    <xdr:sp macro="" textlink="">
      <xdr:nvSpPr>
        <xdr:cNvPr id="9" name="Line 20">
          <a:extLst>
            <a:ext uri="{FF2B5EF4-FFF2-40B4-BE49-F238E27FC236}">
              <a16:creationId xmlns:a16="http://schemas.microsoft.com/office/drawing/2014/main" id="{DEDDD4DA-0B9C-4232-817A-9A1251139E60}"/>
            </a:ext>
          </a:extLst>
        </xdr:cNvPr>
        <xdr:cNvSpPr>
          <a:spLocks noChangeShapeType="1"/>
        </xdr:cNvSpPr>
      </xdr:nvSpPr>
      <xdr:spPr bwMode="auto">
        <a:xfrm>
          <a:off x="4457700" y="2933700"/>
          <a:ext cx="12192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0</xdr:colOff>
      <xdr:row>5</xdr:row>
      <xdr:rowOff>76200</xdr:rowOff>
    </xdr:from>
    <xdr:to>
      <xdr:col>10</xdr:col>
      <xdr:colOff>0</xdr:colOff>
      <xdr:row>7</xdr:row>
      <xdr:rowOff>76200</xdr:rowOff>
    </xdr:to>
    <xdr:sp macro="" textlink="">
      <xdr:nvSpPr>
        <xdr:cNvPr id="10" name="Line 21">
          <a:extLst>
            <a:ext uri="{FF2B5EF4-FFF2-40B4-BE49-F238E27FC236}">
              <a16:creationId xmlns:a16="http://schemas.microsoft.com/office/drawing/2014/main" id="{EA0254CD-E707-41FB-A452-395A92BFBEDA}"/>
            </a:ext>
          </a:extLst>
        </xdr:cNvPr>
        <xdr:cNvSpPr>
          <a:spLocks noChangeShapeType="1"/>
        </xdr:cNvSpPr>
      </xdr:nvSpPr>
      <xdr:spPr bwMode="auto">
        <a:xfrm flipV="1">
          <a:off x="4210050" y="2933700"/>
          <a:ext cx="247650" cy="38100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0</xdr:colOff>
      <xdr:row>10</xdr:row>
      <xdr:rowOff>0</xdr:rowOff>
    </xdr:from>
    <xdr:to>
      <xdr:col>12</xdr:col>
      <xdr:colOff>151086</xdr:colOff>
      <xdr:row>10</xdr:row>
      <xdr:rowOff>152400</xdr:rowOff>
    </xdr:to>
    <xdr:sp macro="" textlink="">
      <xdr:nvSpPr>
        <xdr:cNvPr id="11" name="Triangle 4" descr="8b8d5d5a-1d4c-412b-a2a8-fe2cdb9e8d43">
          <a:extLst>
            <a:ext uri="{FF2B5EF4-FFF2-40B4-BE49-F238E27FC236}">
              <a16:creationId xmlns:a16="http://schemas.microsoft.com/office/drawing/2014/main" id="{BDE41DD1-FC60-464A-879A-803888D94CA1}"/>
            </a:ext>
          </a:extLst>
        </xdr:cNvPr>
        <xdr:cNvSpPr/>
      </xdr:nvSpPr>
      <xdr:spPr>
        <a:xfrm rot="16200000">
          <a:off x="5676900" y="3810000"/>
          <a:ext cx="152400" cy="152400"/>
        </a:xfrm>
        <a:prstGeom prst="triangle">
          <a:avLst/>
        </a:prstGeom>
        <a:solidFill>
          <a:srgbClr val="00B0F0"/>
        </a:solidFill>
        <a:ln w="12700" cap="flat" cmpd="sng" algn="ctr">
          <a:solidFill>
            <a:srgbClr xmlns:mc="http://schemas.openxmlformats.org/markup-compatibility/2006" xmlns:a14="http://schemas.microsoft.com/office/drawing/2010/main" val="000000" mc:Ignorable="a14" a14:legacySpreadsheetColorIndex="8"/>
          </a:solidFill>
          <a:prstDash val="solid"/>
          <a:miter lim="800000"/>
          <a:headEnd type="none" w="med" len="med"/>
          <a:tailEnd type="none" w="med" len="med"/>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10</xdr:col>
      <xdr:colOff>0</xdr:colOff>
      <xdr:row>10</xdr:row>
      <xdr:rowOff>76200</xdr:rowOff>
    </xdr:from>
    <xdr:to>
      <xdr:col>12</xdr:col>
      <xdr:colOff>0</xdr:colOff>
      <xdr:row>10</xdr:row>
      <xdr:rowOff>76200</xdr:rowOff>
    </xdr:to>
    <xdr:sp macro="" textlink="">
      <xdr:nvSpPr>
        <xdr:cNvPr id="12" name="Line 22">
          <a:extLst>
            <a:ext uri="{FF2B5EF4-FFF2-40B4-BE49-F238E27FC236}">
              <a16:creationId xmlns:a16="http://schemas.microsoft.com/office/drawing/2014/main" id="{0C649B8E-1C5D-4A10-B17D-813F45698C22}"/>
            </a:ext>
          </a:extLst>
        </xdr:cNvPr>
        <xdr:cNvSpPr>
          <a:spLocks noChangeShapeType="1"/>
        </xdr:cNvSpPr>
      </xdr:nvSpPr>
      <xdr:spPr bwMode="auto">
        <a:xfrm>
          <a:off x="4457700" y="3886200"/>
          <a:ext cx="12192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0</xdr:colOff>
      <xdr:row>7</xdr:row>
      <xdr:rowOff>76200</xdr:rowOff>
    </xdr:from>
    <xdr:to>
      <xdr:col>10</xdr:col>
      <xdr:colOff>0</xdr:colOff>
      <xdr:row>10</xdr:row>
      <xdr:rowOff>76200</xdr:rowOff>
    </xdr:to>
    <xdr:sp macro="" textlink="">
      <xdr:nvSpPr>
        <xdr:cNvPr id="13" name="Line 23">
          <a:extLst>
            <a:ext uri="{FF2B5EF4-FFF2-40B4-BE49-F238E27FC236}">
              <a16:creationId xmlns:a16="http://schemas.microsoft.com/office/drawing/2014/main" id="{3EF36612-A837-4583-9FDC-FA4F524C273E}"/>
            </a:ext>
          </a:extLst>
        </xdr:cNvPr>
        <xdr:cNvSpPr>
          <a:spLocks noChangeShapeType="1"/>
        </xdr:cNvSpPr>
      </xdr:nvSpPr>
      <xdr:spPr bwMode="auto">
        <a:xfrm>
          <a:off x="4210050" y="3314700"/>
          <a:ext cx="247650" cy="57150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0</xdr:colOff>
      <xdr:row>15</xdr:row>
      <xdr:rowOff>0</xdr:rowOff>
    </xdr:from>
    <xdr:to>
      <xdr:col>12</xdr:col>
      <xdr:colOff>151086</xdr:colOff>
      <xdr:row>15</xdr:row>
      <xdr:rowOff>152400</xdr:rowOff>
    </xdr:to>
    <xdr:sp macro="" textlink="">
      <xdr:nvSpPr>
        <xdr:cNvPr id="14" name="Triangle 5" descr="036780b0-1c03-41b6-9086-667a5aa4f667">
          <a:extLst>
            <a:ext uri="{FF2B5EF4-FFF2-40B4-BE49-F238E27FC236}">
              <a16:creationId xmlns:a16="http://schemas.microsoft.com/office/drawing/2014/main" id="{D69F3CEC-6B4C-4F5F-A270-CF7AA187F046}"/>
            </a:ext>
          </a:extLst>
        </xdr:cNvPr>
        <xdr:cNvSpPr/>
      </xdr:nvSpPr>
      <xdr:spPr>
        <a:xfrm rot="16200000">
          <a:off x="5676900" y="4762500"/>
          <a:ext cx="152400" cy="152400"/>
        </a:xfrm>
        <a:prstGeom prst="triangle">
          <a:avLst/>
        </a:prstGeom>
        <a:solidFill>
          <a:srgbClr val="00B0F0"/>
        </a:solidFill>
        <a:ln w="12700" cap="flat" cmpd="sng" algn="ctr">
          <a:solidFill>
            <a:srgbClr xmlns:mc="http://schemas.openxmlformats.org/markup-compatibility/2006" xmlns:a14="http://schemas.microsoft.com/office/drawing/2010/main" val="000000" mc:Ignorable="a14" a14:legacySpreadsheetColorIndex="8"/>
          </a:solidFill>
          <a:prstDash val="solid"/>
          <a:miter lim="800000"/>
          <a:headEnd type="none" w="med" len="med"/>
          <a:tailEnd type="none" w="med" len="med"/>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10</xdr:col>
      <xdr:colOff>0</xdr:colOff>
      <xdr:row>15</xdr:row>
      <xdr:rowOff>76200</xdr:rowOff>
    </xdr:from>
    <xdr:to>
      <xdr:col>12</xdr:col>
      <xdr:colOff>0</xdr:colOff>
      <xdr:row>15</xdr:row>
      <xdr:rowOff>76200</xdr:rowOff>
    </xdr:to>
    <xdr:sp macro="" textlink="">
      <xdr:nvSpPr>
        <xdr:cNvPr id="15" name="Line 24">
          <a:extLst>
            <a:ext uri="{FF2B5EF4-FFF2-40B4-BE49-F238E27FC236}">
              <a16:creationId xmlns:a16="http://schemas.microsoft.com/office/drawing/2014/main" id="{7E31C994-7115-496B-AE6F-D48791071D4B}"/>
            </a:ext>
          </a:extLst>
        </xdr:cNvPr>
        <xdr:cNvSpPr>
          <a:spLocks noChangeShapeType="1"/>
        </xdr:cNvSpPr>
      </xdr:nvSpPr>
      <xdr:spPr bwMode="auto">
        <a:xfrm>
          <a:off x="4457700" y="4838700"/>
          <a:ext cx="12192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0</xdr:colOff>
      <xdr:row>15</xdr:row>
      <xdr:rowOff>76200</xdr:rowOff>
    </xdr:from>
    <xdr:to>
      <xdr:col>10</xdr:col>
      <xdr:colOff>0</xdr:colOff>
      <xdr:row>17</xdr:row>
      <xdr:rowOff>76200</xdr:rowOff>
    </xdr:to>
    <xdr:sp macro="" textlink="">
      <xdr:nvSpPr>
        <xdr:cNvPr id="16" name="Line 25">
          <a:extLst>
            <a:ext uri="{FF2B5EF4-FFF2-40B4-BE49-F238E27FC236}">
              <a16:creationId xmlns:a16="http://schemas.microsoft.com/office/drawing/2014/main" id="{B3F59559-D784-439B-A645-59775D82C73B}"/>
            </a:ext>
          </a:extLst>
        </xdr:cNvPr>
        <xdr:cNvSpPr>
          <a:spLocks noChangeShapeType="1"/>
        </xdr:cNvSpPr>
      </xdr:nvSpPr>
      <xdr:spPr bwMode="auto">
        <a:xfrm flipV="1">
          <a:off x="4210050" y="4838700"/>
          <a:ext cx="247650" cy="38100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0</xdr:colOff>
      <xdr:row>20</xdr:row>
      <xdr:rowOff>0</xdr:rowOff>
    </xdr:from>
    <xdr:to>
      <xdr:col>12</xdr:col>
      <xdr:colOff>151086</xdr:colOff>
      <xdr:row>20</xdr:row>
      <xdr:rowOff>152400</xdr:rowOff>
    </xdr:to>
    <xdr:sp macro="" textlink="">
      <xdr:nvSpPr>
        <xdr:cNvPr id="17" name="Triangle 6" descr="2fa8c591-1db5-412b-928b-e88c5dda5bf9">
          <a:extLst>
            <a:ext uri="{FF2B5EF4-FFF2-40B4-BE49-F238E27FC236}">
              <a16:creationId xmlns:a16="http://schemas.microsoft.com/office/drawing/2014/main" id="{2ACFE55A-812D-429A-B090-BF77FF4F87E7}"/>
            </a:ext>
          </a:extLst>
        </xdr:cNvPr>
        <xdr:cNvSpPr/>
      </xdr:nvSpPr>
      <xdr:spPr>
        <a:xfrm rot="16200000">
          <a:off x="5676900" y="5715000"/>
          <a:ext cx="152400" cy="152400"/>
        </a:xfrm>
        <a:prstGeom prst="triangle">
          <a:avLst/>
        </a:prstGeom>
        <a:solidFill>
          <a:srgbClr val="00B0F0"/>
        </a:solidFill>
        <a:ln w="12700" cap="flat" cmpd="sng" algn="ctr">
          <a:solidFill>
            <a:srgbClr xmlns:mc="http://schemas.openxmlformats.org/markup-compatibility/2006" xmlns:a14="http://schemas.microsoft.com/office/drawing/2010/main" val="000000" mc:Ignorable="a14" a14:legacySpreadsheetColorIndex="8"/>
          </a:solidFill>
          <a:prstDash val="solid"/>
          <a:miter lim="800000"/>
          <a:headEnd type="none" w="med" len="med"/>
          <a:tailEnd type="none" w="med" len="med"/>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10</xdr:col>
      <xdr:colOff>0</xdr:colOff>
      <xdr:row>20</xdr:row>
      <xdr:rowOff>76200</xdr:rowOff>
    </xdr:from>
    <xdr:to>
      <xdr:col>12</xdr:col>
      <xdr:colOff>0</xdr:colOff>
      <xdr:row>20</xdr:row>
      <xdr:rowOff>76200</xdr:rowOff>
    </xdr:to>
    <xdr:sp macro="" textlink="">
      <xdr:nvSpPr>
        <xdr:cNvPr id="18" name="Line 26">
          <a:extLst>
            <a:ext uri="{FF2B5EF4-FFF2-40B4-BE49-F238E27FC236}">
              <a16:creationId xmlns:a16="http://schemas.microsoft.com/office/drawing/2014/main" id="{0A818829-0056-4E58-9AD3-56A8887234D6}"/>
            </a:ext>
          </a:extLst>
        </xdr:cNvPr>
        <xdr:cNvSpPr>
          <a:spLocks noChangeShapeType="1"/>
        </xdr:cNvSpPr>
      </xdr:nvSpPr>
      <xdr:spPr bwMode="auto">
        <a:xfrm>
          <a:off x="4457700" y="5791200"/>
          <a:ext cx="12192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0</xdr:colOff>
      <xdr:row>17</xdr:row>
      <xdr:rowOff>76200</xdr:rowOff>
    </xdr:from>
    <xdr:to>
      <xdr:col>10</xdr:col>
      <xdr:colOff>0</xdr:colOff>
      <xdr:row>20</xdr:row>
      <xdr:rowOff>76200</xdr:rowOff>
    </xdr:to>
    <xdr:sp macro="" textlink="">
      <xdr:nvSpPr>
        <xdr:cNvPr id="19" name="Line 27">
          <a:extLst>
            <a:ext uri="{FF2B5EF4-FFF2-40B4-BE49-F238E27FC236}">
              <a16:creationId xmlns:a16="http://schemas.microsoft.com/office/drawing/2014/main" id="{B9179913-D5C3-44D4-A627-6DB54A359EE7}"/>
            </a:ext>
          </a:extLst>
        </xdr:cNvPr>
        <xdr:cNvSpPr>
          <a:spLocks noChangeShapeType="1"/>
        </xdr:cNvSpPr>
      </xdr:nvSpPr>
      <xdr:spPr bwMode="auto">
        <a:xfrm>
          <a:off x="4210050" y="5219700"/>
          <a:ext cx="247650" cy="57150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xdr:col>
      <xdr:colOff>0</xdr:colOff>
      <xdr:row>12</xdr:row>
      <xdr:rowOff>0</xdr:rowOff>
    </xdr:from>
    <xdr:to>
      <xdr:col>5</xdr:col>
      <xdr:colOff>0</xdr:colOff>
      <xdr:row>12</xdr:row>
      <xdr:rowOff>152400</xdr:rowOff>
    </xdr:to>
    <xdr:sp macro="" textlink="">
      <xdr:nvSpPr>
        <xdr:cNvPr id="20" name="Square 0" descr="e0fe0f9f-07ff-4e5c-830e-aa09f7ca72aa">
          <a:extLst>
            <a:ext uri="{FF2B5EF4-FFF2-40B4-BE49-F238E27FC236}">
              <a16:creationId xmlns:a16="http://schemas.microsoft.com/office/drawing/2014/main" id="{F6690193-911B-43A7-B347-E5D4F7E7BF12}"/>
            </a:ext>
          </a:extLst>
        </xdr:cNvPr>
        <xdr:cNvSpPr/>
      </xdr:nvSpPr>
      <xdr:spPr>
        <a:xfrm>
          <a:off x="2438400" y="4191000"/>
          <a:ext cx="152400" cy="152400"/>
        </a:xfrm>
        <a:prstGeom prst="rect">
          <a:avLst/>
        </a:prstGeom>
        <a:solidFill>
          <a:srgbClr val="FFFF00">
            <a:alpha val="50000"/>
          </a:srgbClr>
        </a:solidFill>
        <a:ln w="12700" cap="flat" cmpd="sng" algn="ctr">
          <a:solidFill>
            <a:srgbClr xmlns:mc="http://schemas.openxmlformats.org/markup-compatibility/2006" xmlns:a14="http://schemas.microsoft.com/office/drawing/2010/main" val="000000" mc:Ignorable="a14" a14:legacySpreadsheetColorIndex="8"/>
          </a:solidFill>
          <a:prstDash val="solid"/>
          <a:miter lim="800000"/>
          <a:headEnd type="none" w="med" len="med"/>
          <a:tailEnd type="none" w="med" len="med"/>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solidFill>
              <a:srgbClr val="FFFF00"/>
            </a:solidFill>
          </a:endParaRPr>
        </a:p>
      </xdr:txBody>
    </xdr:sp>
    <xdr:clientData/>
  </xdr:twoCellAnchor>
  <xdr:twoCellAnchor>
    <xdr:from>
      <xdr:col>3</xdr:col>
      <xdr:colOff>0</xdr:colOff>
      <xdr:row>12</xdr:row>
      <xdr:rowOff>76200</xdr:rowOff>
    </xdr:from>
    <xdr:to>
      <xdr:col>4</xdr:col>
      <xdr:colOff>0</xdr:colOff>
      <xdr:row>12</xdr:row>
      <xdr:rowOff>76200</xdr:rowOff>
    </xdr:to>
    <xdr:sp macro="" textlink="">
      <xdr:nvSpPr>
        <xdr:cNvPr id="21" name="Line 28">
          <a:extLst>
            <a:ext uri="{FF2B5EF4-FFF2-40B4-BE49-F238E27FC236}">
              <a16:creationId xmlns:a16="http://schemas.microsoft.com/office/drawing/2014/main" id="{74161BFB-E55A-458A-A9F2-4E4FDFE88722}"/>
            </a:ext>
          </a:extLst>
        </xdr:cNvPr>
        <xdr:cNvSpPr>
          <a:spLocks noChangeShapeType="1"/>
        </xdr:cNvSpPr>
      </xdr:nvSpPr>
      <xdr:spPr bwMode="auto">
        <a:xfrm>
          <a:off x="1828800" y="4267200"/>
          <a:ext cx="6096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11</xdr:row>
      <xdr:rowOff>0</xdr:rowOff>
    </xdr:from>
    <xdr:to>
      <xdr:col>7</xdr:col>
      <xdr:colOff>0</xdr:colOff>
      <xdr:row>11</xdr:row>
      <xdr:rowOff>152400</xdr:rowOff>
    </xdr:to>
    <xdr:sp macro="" textlink="">
      <xdr:nvSpPr>
        <xdr:cNvPr id="61" name="Square 1">
          <a:extLst>
            <a:ext uri="{FF2B5EF4-FFF2-40B4-BE49-F238E27FC236}">
              <a16:creationId xmlns:a16="http://schemas.microsoft.com/office/drawing/2014/main" id="{FBCA0EE9-D6E5-165D-3919-93C64BF19FA9}"/>
            </a:ext>
          </a:extLst>
        </xdr:cNvPr>
        <xdr:cNvSpPr/>
      </xdr:nvSpPr>
      <xdr:spPr>
        <a:xfrm>
          <a:off x="6496050" y="3429000"/>
          <a:ext cx="152400" cy="152400"/>
        </a:xfrm>
        <a:prstGeom prst="rect">
          <a:avLst/>
        </a:prstGeom>
        <a:solidFill>
          <a:srgbClr val="FFFF00">
            <a:alpha val="50000"/>
          </a:srgbClr>
        </a:solidFill>
        <a:ln w="12700" cap="flat" cmpd="sng" algn="ctr">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4</xdr:col>
      <xdr:colOff>0</xdr:colOff>
      <xdr:row>11</xdr:row>
      <xdr:rowOff>76200</xdr:rowOff>
    </xdr:from>
    <xdr:to>
      <xdr:col>6</xdr:col>
      <xdr:colOff>0</xdr:colOff>
      <xdr:row>11</xdr:row>
      <xdr:rowOff>76200</xdr:rowOff>
    </xdr:to>
    <xdr:sp macro="" textlink="">
      <xdr:nvSpPr>
        <xdr:cNvPr id="26745" name="Line 121">
          <a:extLst>
            <a:ext uri="{FF2B5EF4-FFF2-40B4-BE49-F238E27FC236}">
              <a16:creationId xmlns:a16="http://schemas.microsoft.com/office/drawing/2014/main" id="{AFAF20E7-2FD4-0BD5-E964-C5039C11695C}"/>
            </a:ext>
          </a:extLst>
        </xdr:cNvPr>
        <xdr:cNvSpPr>
          <a:spLocks noChangeShapeType="1"/>
        </xdr:cNvSpPr>
      </xdr:nvSpPr>
      <xdr:spPr bwMode="auto">
        <a:xfrm>
          <a:off x="5276850" y="3505200"/>
          <a:ext cx="12192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11</xdr:row>
      <xdr:rowOff>76200</xdr:rowOff>
    </xdr:from>
    <xdr:to>
      <xdr:col>4</xdr:col>
      <xdr:colOff>0</xdr:colOff>
      <xdr:row>19</xdr:row>
      <xdr:rowOff>76200</xdr:rowOff>
    </xdr:to>
    <xdr:sp macro="" textlink="">
      <xdr:nvSpPr>
        <xdr:cNvPr id="26746" name="Line 122">
          <a:extLst>
            <a:ext uri="{FF2B5EF4-FFF2-40B4-BE49-F238E27FC236}">
              <a16:creationId xmlns:a16="http://schemas.microsoft.com/office/drawing/2014/main" id="{465A4964-37DE-0D50-5713-E982F80BD940}"/>
            </a:ext>
          </a:extLst>
        </xdr:cNvPr>
        <xdr:cNvSpPr>
          <a:spLocks noChangeShapeType="1"/>
        </xdr:cNvSpPr>
      </xdr:nvSpPr>
      <xdr:spPr bwMode="auto">
        <a:xfrm flipV="1">
          <a:off x="5029200" y="3505200"/>
          <a:ext cx="247650" cy="152400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6</xdr:col>
      <xdr:colOff>0</xdr:colOff>
      <xdr:row>28</xdr:row>
      <xdr:rowOff>0</xdr:rowOff>
    </xdr:from>
    <xdr:to>
      <xdr:col>7</xdr:col>
      <xdr:colOff>0</xdr:colOff>
      <xdr:row>28</xdr:row>
      <xdr:rowOff>152400</xdr:rowOff>
    </xdr:to>
    <xdr:sp macro="" textlink="">
      <xdr:nvSpPr>
        <xdr:cNvPr id="62" name="Square 2">
          <a:extLst>
            <a:ext uri="{FF2B5EF4-FFF2-40B4-BE49-F238E27FC236}">
              <a16:creationId xmlns:a16="http://schemas.microsoft.com/office/drawing/2014/main" id="{1889C062-41D2-0E0D-C674-5C346389D0DB}"/>
            </a:ext>
          </a:extLst>
        </xdr:cNvPr>
        <xdr:cNvSpPr/>
      </xdr:nvSpPr>
      <xdr:spPr>
        <a:xfrm>
          <a:off x="6496050" y="6667500"/>
          <a:ext cx="152400" cy="152400"/>
        </a:xfrm>
        <a:prstGeom prst="rect">
          <a:avLst/>
        </a:prstGeom>
        <a:solidFill>
          <a:srgbClr val="FFFF00">
            <a:alpha val="50000"/>
          </a:srgbClr>
        </a:solidFill>
        <a:ln w="12700" cap="flat" cmpd="sng" algn="ctr">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4</xdr:col>
      <xdr:colOff>0</xdr:colOff>
      <xdr:row>28</xdr:row>
      <xdr:rowOff>76200</xdr:rowOff>
    </xdr:from>
    <xdr:to>
      <xdr:col>6</xdr:col>
      <xdr:colOff>0</xdr:colOff>
      <xdr:row>28</xdr:row>
      <xdr:rowOff>76200</xdr:rowOff>
    </xdr:to>
    <xdr:sp macro="" textlink="">
      <xdr:nvSpPr>
        <xdr:cNvPr id="26747" name="Line 123">
          <a:extLst>
            <a:ext uri="{FF2B5EF4-FFF2-40B4-BE49-F238E27FC236}">
              <a16:creationId xmlns:a16="http://schemas.microsoft.com/office/drawing/2014/main" id="{7692252E-C30D-5396-06CD-983D8A571B25}"/>
            </a:ext>
          </a:extLst>
        </xdr:cNvPr>
        <xdr:cNvSpPr>
          <a:spLocks noChangeShapeType="1"/>
        </xdr:cNvSpPr>
      </xdr:nvSpPr>
      <xdr:spPr bwMode="auto">
        <a:xfrm>
          <a:off x="5276850" y="6743700"/>
          <a:ext cx="12192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19</xdr:row>
      <xdr:rowOff>76200</xdr:rowOff>
    </xdr:from>
    <xdr:to>
      <xdr:col>4</xdr:col>
      <xdr:colOff>0</xdr:colOff>
      <xdr:row>28</xdr:row>
      <xdr:rowOff>76200</xdr:rowOff>
    </xdr:to>
    <xdr:sp macro="" textlink="">
      <xdr:nvSpPr>
        <xdr:cNvPr id="26748" name="Line 124">
          <a:extLst>
            <a:ext uri="{FF2B5EF4-FFF2-40B4-BE49-F238E27FC236}">
              <a16:creationId xmlns:a16="http://schemas.microsoft.com/office/drawing/2014/main" id="{9D66FC68-7AF0-40D3-B446-8B9713BA123E}"/>
            </a:ext>
          </a:extLst>
        </xdr:cNvPr>
        <xdr:cNvSpPr>
          <a:spLocks noChangeShapeType="1"/>
        </xdr:cNvSpPr>
      </xdr:nvSpPr>
      <xdr:spPr bwMode="auto">
        <a:xfrm>
          <a:off x="5029200" y="5029200"/>
          <a:ext cx="247650" cy="171450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10</xdr:col>
      <xdr:colOff>0</xdr:colOff>
      <xdr:row>7</xdr:row>
      <xdr:rowOff>0</xdr:rowOff>
    </xdr:from>
    <xdr:to>
      <xdr:col>11</xdr:col>
      <xdr:colOff>0</xdr:colOff>
      <xdr:row>7</xdr:row>
      <xdr:rowOff>152400</xdr:rowOff>
    </xdr:to>
    <xdr:sp macro="" textlink="">
      <xdr:nvSpPr>
        <xdr:cNvPr id="63" name="Circle 3">
          <a:extLst>
            <a:ext uri="{FF2B5EF4-FFF2-40B4-BE49-F238E27FC236}">
              <a16:creationId xmlns:a16="http://schemas.microsoft.com/office/drawing/2014/main" id="{AD84CD05-50AF-3CA9-7FC1-278D9136098C}"/>
            </a:ext>
          </a:extLst>
        </xdr:cNvPr>
        <xdr:cNvSpPr/>
      </xdr:nvSpPr>
      <xdr:spPr>
        <a:xfrm>
          <a:off x="8115300" y="2667000"/>
          <a:ext cx="152400" cy="152400"/>
        </a:xfrm>
        <a:prstGeom prst="ellipse">
          <a:avLst/>
        </a:prstGeom>
        <a:solidFill>
          <a:srgbClr val="00FF00"/>
        </a:solidFill>
        <a:ln w="12700" cap="flat" cmpd="sng" algn="ctr">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8</xdr:col>
      <xdr:colOff>0</xdr:colOff>
      <xdr:row>7</xdr:row>
      <xdr:rowOff>76200</xdr:rowOff>
    </xdr:from>
    <xdr:to>
      <xdr:col>10</xdr:col>
      <xdr:colOff>0</xdr:colOff>
      <xdr:row>7</xdr:row>
      <xdr:rowOff>76200</xdr:rowOff>
    </xdr:to>
    <xdr:sp macro="" textlink="">
      <xdr:nvSpPr>
        <xdr:cNvPr id="26749" name="Line 125">
          <a:extLst>
            <a:ext uri="{FF2B5EF4-FFF2-40B4-BE49-F238E27FC236}">
              <a16:creationId xmlns:a16="http://schemas.microsoft.com/office/drawing/2014/main" id="{CAFD7702-0276-AABD-4843-D6D7D2B29849}"/>
            </a:ext>
          </a:extLst>
        </xdr:cNvPr>
        <xdr:cNvSpPr>
          <a:spLocks noChangeShapeType="1"/>
        </xdr:cNvSpPr>
      </xdr:nvSpPr>
      <xdr:spPr bwMode="auto">
        <a:xfrm>
          <a:off x="6896100" y="2743200"/>
          <a:ext cx="12192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7</xdr:row>
      <xdr:rowOff>76200</xdr:rowOff>
    </xdr:from>
    <xdr:to>
      <xdr:col>8</xdr:col>
      <xdr:colOff>0</xdr:colOff>
      <xdr:row>11</xdr:row>
      <xdr:rowOff>76200</xdr:rowOff>
    </xdr:to>
    <xdr:sp macro="" textlink="">
      <xdr:nvSpPr>
        <xdr:cNvPr id="26750" name="Line 126">
          <a:extLst>
            <a:ext uri="{FF2B5EF4-FFF2-40B4-BE49-F238E27FC236}">
              <a16:creationId xmlns:a16="http://schemas.microsoft.com/office/drawing/2014/main" id="{A6D59D7D-810D-2BD9-17AC-6E593294F62D}"/>
            </a:ext>
          </a:extLst>
        </xdr:cNvPr>
        <xdr:cNvSpPr>
          <a:spLocks noChangeShapeType="1"/>
        </xdr:cNvSpPr>
      </xdr:nvSpPr>
      <xdr:spPr bwMode="auto">
        <a:xfrm flipV="1">
          <a:off x="6648450" y="2743200"/>
          <a:ext cx="247650" cy="76200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10</xdr:col>
      <xdr:colOff>0</xdr:colOff>
      <xdr:row>15</xdr:row>
      <xdr:rowOff>0</xdr:rowOff>
    </xdr:from>
    <xdr:to>
      <xdr:col>11</xdr:col>
      <xdr:colOff>0</xdr:colOff>
      <xdr:row>15</xdr:row>
      <xdr:rowOff>152400</xdr:rowOff>
    </xdr:to>
    <xdr:sp macro="" textlink="">
      <xdr:nvSpPr>
        <xdr:cNvPr id="26624" name="Triangle 4">
          <a:extLst>
            <a:ext uri="{FF2B5EF4-FFF2-40B4-BE49-F238E27FC236}">
              <a16:creationId xmlns:a16="http://schemas.microsoft.com/office/drawing/2014/main" id="{82457EF3-285B-C604-A318-545D9D46729F}"/>
            </a:ext>
          </a:extLst>
        </xdr:cNvPr>
        <xdr:cNvSpPr/>
      </xdr:nvSpPr>
      <xdr:spPr>
        <a:xfrm rot="16200000">
          <a:off x="8115300" y="4191000"/>
          <a:ext cx="152400" cy="152400"/>
        </a:xfrm>
        <a:prstGeom prst="triangle">
          <a:avLst/>
        </a:prstGeom>
        <a:solidFill>
          <a:srgbClr val="00B0F0"/>
        </a:solidFill>
        <a:ln w="12700" cap="flat" cmpd="sng" algn="ctr">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11</xdr:col>
      <xdr:colOff>0</xdr:colOff>
      <xdr:row>15</xdr:row>
      <xdr:rowOff>76200</xdr:rowOff>
    </xdr:from>
    <xdr:to>
      <xdr:col>14</xdr:col>
      <xdr:colOff>0</xdr:colOff>
      <xdr:row>15</xdr:row>
      <xdr:rowOff>76200</xdr:rowOff>
    </xdr:to>
    <xdr:sp macro="" textlink="">
      <xdr:nvSpPr>
        <xdr:cNvPr id="26751" name="Line 127">
          <a:extLst>
            <a:ext uri="{FF2B5EF4-FFF2-40B4-BE49-F238E27FC236}">
              <a16:creationId xmlns:a16="http://schemas.microsoft.com/office/drawing/2014/main" id="{A825820C-F0CD-F5A3-4CC5-69B237BE9F05}"/>
            </a:ext>
          </a:extLst>
        </xdr:cNvPr>
        <xdr:cNvSpPr>
          <a:spLocks noChangeShapeType="1"/>
        </xdr:cNvSpPr>
      </xdr:nvSpPr>
      <xdr:spPr bwMode="auto">
        <a:xfrm>
          <a:off x="8267700" y="4267200"/>
          <a:ext cx="14668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15</xdr:row>
      <xdr:rowOff>76200</xdr:rowOff>
    </xdr:from>
    <xdr:to>
      <xdr:col>10</xdr:col>
      <xdr:colOff>0</xdr:colOff>
      <xdr:row>15</xdr:row>
      <xdr:rowOff>76200</xdr:rowOff>
    </xdr:to>
    <xdr:sp macro="" textlink="">
      <xdr:nvSpPr>
        <xdr:cNvPr id="26752" name="Line 128">
          <a:extLst>
            <a:ext uri="{FF2B5EF4-FFF2-40B4-BE49-F238E27FC236}">
              <a16:creationId xmlns:a16="http://schemas.microsoft.com/office/drawing/2014/main" id="{06CAE587-DDBC-D7AA-065E-2E65F97E345F}"/>
            </a:ext>
          </a:extLst>
        </xdr:cNvPr>
        <xdr:cNvSpPr>
          <a:spLocks noChangeShapeType="1"/>
        </xdr:cNvSpPr>
      </xdr:nvSpPr>
      <xdr:spPr bwMode="auto">
        <a:xfrm>
          <a:off x="6896100" y="4267200"/>
          <a:ext cx="12192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11</xdr:row>
      <xdr:rowOff>76200</xdr:rowOff>
    </xdr:from>
    <xdr:to>
      <xdr:col>8</xdr:col>
      <xdr:colOff>0</xdr:colOff>
      <xdr:row>15</xdr:row>
      <xdr:rowOff>76200</xdr:rowOff>
    </xdr:to>
    <xdr:sp macro="" textlink="">
      <xdr:nvSpPr>
        <xdr:cNvPr id="26753" name="Line 129">
          <a:extLst>
            <a:ext uri="{FF2B5EF4-FFF2-40B4-BE49-F238E27FC236}">
              <a16:creationId xmlns:a16="http://schemas.microsoft.com/office/drawing/2014/main" id="{9529D93C-1698-9BB7-36E8-A783E6F3B6A6}"/>
            </a:ext>
          </a:extLst>
        </xdr:cNvPr>
        <xdr:cNvSpPr>
          <a:spLocks noChangeShapeType="1"/>
        </xdr:cNvSpPr>
      </xdr:nvSpPr>
      <xdr:spPr bwMode="auto">
        <a:xfrm>
          <a:off x="6648450" y="3505200"/>
          <a:ext cx="247650" cy="76200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10</xdr:col>
      <xdr:colOff>0</xdr:colOff>
      <xdr:row>22</xdr:row>
      <xdr:rowOff>0</xdr:rowOff>
    </xdr:from>
    <xdr:to>
      <xdr:col>11</xdr:col>
      <xdr:colOff>0</xdr:colOff>
      <xdr:row>22</xdr:row>
      <xdr:rowOff>152400</xdr:rowOff>
    </xdr:to>
    <xdr:sp macro="" textlink="">
      <xdr:nvSpPr>
        <xdr:cNvPr id="26754" name="Circle 5">
          <a:extLst>
            <a:ext uri="{FF2B5EF4-FFF2-40B4-BE49-F238E27FC236}">
              <a16:creationId xmlns:a16="http://schemas.microsoft.com/office/drawing/2014/main" id="{19845DC3-E5F4-68E5-7421-F86764DF0288}"/>
            </a:ext>
          </a:extLst>
        </xdr:cNvPr>
        <xdr:cNvSpPr/>
      </xdr:nvSpPr>
      <xdr:spPr>
        <a:xfrm>
          <a:off x="8115300" y="5524500"/>
          <a:ext cx="152400" cy="152400"/>
        </a:xfrm>
        <a:prstGeom prst="ellipse">
          <a:avLst/>
        </a:prstGeom>
        <a:solidFill>
          <a:srgbClr val="00FF00"/>
        </a:solidFill>
        <a:ln w="12700" cap="flat" cmpd="sng" algn="ctr">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8</xdr:col>
      <xdr:colOff>0</xdr:colOff>
      <xdr:row>22</xdr:row>
      <xdr:rowOff>76200</xdr:rowOff>
    </xdr:from>
    <xdr:to>
      <xdr:col>10</xdr:col>
      <xdr:colOff>0</xdr:colOff>
      <xdr:row>22</xdr:row>
      <xdr:rowOff>76200</xdr:rowOff>
    </xdr:to>
    <xdr:sp macro="" textlink="">
      <xdr:nvSpPr>
        <xdr:cNvPr id="26755" name="Line 130">
          <a:extLst>
            <a:ext uri="{FF2B5EF4-FFF2-40B4-BE49-F238E27FC236}">
              <a16:creationId xmlns:a16="http://schemas.microsoft.com/office/drawing/2014/main" id="{05314013-60F8-FBD2-5BA1-5E9868C23595}"/>
            </a:ext>
          </a:extLst>
        </xdr:cNvPr>
        <xdr:cNvSpPr>
          <a:spLocks noChangeShapeType="1"/>
        </xdr:cNvSpPr>
      </xdr:nvSpPr>
      <xdr:spPr bwMode="auto">
        <a:xfrm>
          <a:off x="6896100" y="5600700"/>
          <a:ext cx="12192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22</xdr:row>
      <xdr:rowOff>76200</xdr:rowOff>
    </xdr:from>
    <xdr:to>
      <xdr:col>8</xdr:col>
      <xdr:colOff>0</xdr:colOff>
      <xdr:row>28</xdr:row>
      <xdr:rowOff>76200</xdr:rowOff>
    </xdr:to>
    <xdr:sp macro="" textlink="">
      <xdr:nvSpPr>
        <xdr:cNvPr id="26756" name="Line 131">
          <a:extLst>
            <a:ext uri="{FF2B5EF4-FFF2-40B4-BE49-F238E27FC236}">
              <a16:creationId xmlns:a16="http://schemas.microsoft.com/office/drawing/2014/main" id="{D2BBE703-E182-838D-A271-FEFBF083D4CC}"/>
            </a:ext>
          </a:extLst>
        </xdr:cNvPr>
        <xdr:cNvSpPr>
          <a:spLocks noChangeShapeType="1"/>
        </xdr:cNvSpPr>
      </xdr:nvSpPr>
      <xdr:spPr bwMode="auto">
        <a:xfrm flipV="1">
          <a:off x="6648450" y="5600700"/>
          <a:ext cx="247650" cy="114300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10</xdr:col>
      <xdr:colOff>0</xdr:colOff>
      <xdr:row>35</xdr:row>
      <xdr:rowOff>0</xdr:rowOff>
    </xdr:from>
    <xdr:to>
      <xdr:col>11</xdr:col>
      <xdr:colOff>0</xdr:colOff>
      <xdr:row>35</xdr:row>
      <xdr:rowOff>152400</xdr:rowOff>
    </xdr:to>
    <xdr:sp macro="" textlink="">
      <xdr:nvSpPr>
        <xdr:cNvPr id="26757" name="Circle 6">
          <a:extLst>
            <a:ext uri="{FF2B5EF4-FFF2-40B4-BE49-F238E27FC236}">
              <a16:creationId xmlns:a16="http://schemas.microsoft.com/office/drawing/2014/main" id="{D770F523-F772-ACB9-7C55-841CC566E4E9}"/>
            </a:ext>
          </a:extLst>
        </xdr:cNvPr>
        <xdr:cNvSpPr/>
      </xdr:nvSpPr>
      <xdr:spPr>
        <a:xfrm>
          <a:off x="8115300" y="8001000"/>
          <a:ext cx="152400" cy="152400"/>
        </a:xfrm>
        <a:prstGeom prst="ellipse">
          <a:avLst/>
        </a:prstGeom>
        <a:solidFill>
          <a:srgbClr val="00FF00"/>
        </a:solidFill>
        <a:ln w="12700" cap="flat" cmpd="sng" algn="ctr">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8</xdr:col>
      <xdr:colOff>0</xdr:colOff>
      <xdr:row>35</xdr:row>
      <xdr:rowOff>76200</xdr:rowOff>
    </xdr:from>
    <xdr:to>
      <xdr:col>10</xdr:col>
      <xdr:colOff>0</xdr:colOff>
      <xdr:row>35</xdr:row>
      <xdr:rowOff>76200</xdr:rowOff>
    </xdr:to>
    <xdr:sp macro="" textlink="">
      <xdr:nvSpPr>
        <xdr:cNvPr id="26758" name="Line 132">
          <a:extLst>
            <a:ext uri="{FF2B5EF4-FFF2-40B4-BE49-F238E27FC236}">
              <a16:creationId xmlns:a16="http://schemas.microsoft.com/office/drawing/2014/main" id="{E6463146-AC20-4AFD-2449-839F2C51FF61}"/>
            </a:ext>
          </a:extLst>
        </xdr:cNvPr>
        <xdr:cNvSpPr>
          <a:spLocks noChangeShapeType="1"/>
        </xdr:cNvSpPr>
      </xdr:nvSpPr>
      <xdr:spPr bwMode="auto">
        <a:xfrm>
          <a:off x="6896100" y="8077200"/>
          <a:ext cx="12192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28</xdr:row>
      <xdr:rowOff>76200</xdr:rowOff>
    </xdr:from>
    <xdr:to>
      <xdr:col>8</xdr:col>
      <xdr:colOff>0</xdr:colOff>
      <xdr:row>35</xdr:row>
      <xdr:rowOff>76200</xdr:rowOff>
    </xdr:to>
    <xdr:sp macro="" textlink="">
      <xdr:nvSpPr>
        <xdr:cNvPr id="26759" name="Line 133">
          <a:extLst>
            <a:ext uri="{FF2B5EF4-FFF2-40B4-BE49-F238E27FC236}">
              <a16:creationId xmlns:a16="http://schemas.microsoft.com/office/drawing/2014/main" id="{DECE9140-BE44-14E0-2189-02918480B299}"/>
            </a:ext>
          </a:extLst>
        </xdr:cNvPr>
        <xdr:cNvSpPr>
          <a:spLocks noChangeShapeType="1"/>
        </xdr:cNvSpPr>
      </xdr:nvSpPr>
      <xdr:spPr bwMode="auto">
        <a:xfrm>
          <a:off x="6648450" y="6743700"/>
          <a:ext cx="247650" cy="133350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14</xdr:col>
      <xdr:colOff>0</xdr:colOff>
      <xdr:row>5</xdr:row>
      <xdr:rowOff>0</xdr:rowOff>
    </xdr:from>
    <xdr:to>
      <xdr:col>15</xdr:col>
      <xdr:colOff>0</xdr:colOff>
      <xdr:row>5</xdr:row>
      <xdr:rowOff>152400</xdr:rowOff>
    </xdr:to>
    <xdr:sp macro="" textlink="">
      <xdr:nvSpPr>
        <xdr:cNvPr id="26760" name="Triangle 7">
          <a:extLst>
            <a:ext uri="{FF2B5EF4-FFF2-40B4-BE49-F238E27FC236}">
              <a16:creationId xmlns:a16="http://schemas.microsoft.com/office/drawing/2014/main" id="{8E34DEDC-C0E2-76D0-B979-19362AB76138}"/>
            </a:ext>
          </a:extLst>
        </xdr:cNvPr>
        <xdr:cNvSpPr/>
      </xdr:nvSpPr>
      <xdr:spPr>
        <a:xfrm rot="16200000">
          <a:off x="9734550" y="2286000"/>
          <a:ext cx="152400" cy="152400"/>
        </a:xfrm>
        <a:prstGeom prst="triangle">
          <a:avLst/>
        </a:prstGeom>
        <a:solidFill>
          <a:srgbClr val="00B0F0"/>
        </a:solidFill>
        <a:ln w="12700" cap="flat" cmpd="sng" algn="ctr">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12</xdr:col>
      <xdr:colOff>0</xdr:colOff>
      <xdr:row>5</xdr:row>
      <xdr:rowOff>76200</xdr:rowOff>
    </xdr:from>
    <xdr:to>
      <xdr:col>14</xdr:col>
      <xdr:colOff>0</xdr:colOff>
      <xdr:row>5</xdr:row>
      <xdr:rowOff>76200</xdr:rowOff>
    </xdr:to>
    <xdr:sp macro="" textlink="">
      <xdr:nvSpPr>
        <xdr:cNvPr id="26761" name="Line 134">
          <a:extLst>
            <a:ext uri="{FF2B5EF4-FFF2-40B4-BE49-F238E27FC236}">
              <a16:creationId xmlns:a16="http://schemas.microsoft.com/office/drawing/2014/main" id="{A4CFD2CD-68C7-C9E4-F684-87F590880FAE}"/>
            </a:ext>
          </a:extLst>
        </xdr:cNvPr>
        <xdr:cNvSpPr>
          <a:spLocks noChangeShapeType="1"/>
        </xdr:cNvSpPr>
      </xdr:nvSpPr>
      <xdr:spPr bwMode="auto">
        <a:xfrm>
          <a:off x="8515350" y="2362200"/>
          <a:ext cx="12192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0</xdr:colOff>
      <xdr:row>5</xdr:row>
      <xdr:rowOff>76200</xdr:rowOff>
    </xdr:from>
    <xdr:to>
      <xdr:col>12</xdr:col>
      <xdr:colOff>0</xdr:colOff>
      <xdr:row>7</xdr:row>
      <xdr:rowOff>76200</xdr:rowOff>
    </xdr:to>
    <xdr:sp macro="" textlink="">
      <xdr:nvSpPr>
        <xdr:cNvPr id="26762" name="Line 135">
          <a:extLst>
            <a:ext uri="{FF2B5EF4-FFF2-40B4-BE49-F238E27FC236}">
              <a16:creationId xmlns:a16="http://schemas.microsoft.com/office/drawing/2014/main" id="{2B370701-3E76-9208-70C3-E22D0E372931}"/>
            </a:ext>
          </a:extLst>
        </xdr:cNvPr>
        <xdr:cNvSpPr>
          <a:spLocks noChangeShapeType="1"/>
        </xdr:cNvSpPr>
      </xdr:nvSpPr>
      <xdr:spPr bwMode="auto">
        <a:xfrm flipV="1">
          <a:off x="8267700" y="2362200"/>
          <a:ext cx="247650" cy="38100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14</xdr:col>
      <xdr:colOff>0</xdr:colOff>
      <xdr:row>10</xdr:row>
      <xdr:rowOff>0</xdr:rowOff>
    </xdr:from>
    <xdr:to>
      <xdr:col>15</xdr:col>
      <xdr:colOff>0</xdr:colOff>
      <xdr:row>10</xdr:row>
      <xdr:rowOff>152400</xdr:rowOff>
    </xdr:to>
    <xdr:sp macro="" textlink="">
      <xdr:nvSpPr>
        <xdr:cNvPr id="26763" name="Triangle 8">
          <a:extLst>
            <a:ext uri="{FF2B5EF4-FFF2-40B4-BE49-F238E27FC236}">
              <a16:creationId xmlns:a16="http://schemas.microsoft.com/office/drawing/2014/main" id="{40506AAB-3093-9A23-5C6C-CA7E7278B4A9}"/>
            </a:ext>
          </a:extLst>
        </xdr:cNvPr>
        <xdr:cNvSpPr/>
      </xdr:nvSpPr>
      <xdr:spPr>
        <a:xfrm rot="16200000">
          <a:off x="9734550" y="3238500"/>
          <a:ext cx="152400" cy="152400"/>
        </a:xfrm>
        <a:prstGeom prst="triangle">
          <a:avLst/>
        </a:prstGeom>
        <a:solidFill>
          <a:srgbClr val="00B0F0"/>
        </a:solidFill>
        <a:ln w="12700" cap="flat" cmpd="sng" algn="ctr">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12</xdr:col>
      <xdr:colOff>0</xdr:colOff>
      <xdr:row>10</xdr:row>
      <xdr:rowOff>76200</xdr:rowOff>
    </xdr:from>
    <xdr:to>
      <xdr:col>14</xdr:col>
      <xdr:colOff>0</xdr:colOff>
      <xdr:row>10</xdr:row>
      <xdr:rowOff>76200</xdr:rowOff>
    </xdr:to>
    <xdr:sp macro="" textlink="">
      <xdr:nvSpPr>
        <xdr:cNvPr id="26764" name="Line 136">
          <a:extLst>
            <a:ext uri="{FF2B5EF4-FFF2-40B4-BE49-F238E27FC236}">
              <a16:creationId xmlns:a16="http://schemas.microsoft.com/office/drawing/2014/main" id="{7BF4FD59-7ECF-39D3-B3A9-22A6EAADA8DF}"/>
            </a:ext>
          </a:extLst>
        </xdr:cNvPr>
        <xdr:cNvSpPr>
          <a:spLocks noChangeShapeType="1"/>
        </xdr:cNvSpPr>
      </xdr:nvSpPr>
      <xdr:spPr bwMode="auto">
        <a:xfrm>
          <a:off x="8515350" y="3314700"/>
          <a:ext cx="12192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0</xdr:colOff>
      <xdr:row>7</xdr:row>
      <xdr:rowOff>76200</xdr:rowOff>
    </xdr:from>
    <xdr:to>
      <xdr:col>12</xdr:col>
      <xdr:colOff>0</xdr:colOff>
      <xdr:row>10</xdr:row>
      <xdr:rowOff>76200</xdr:rowOff>
    </xdr:to>
    <xdr:sp macro="" textlink="">
      <xdr:nvSpPr>
        <xdr:cNvPr id="26765" name="Line 137">
          <a:extLst>
            <a:ext uri="{FF2B5EF4-FFF2-40B4-BE49-F238E27FC236}">
              <a16:creationId xmlns:a16="http://schemas.microsoft.com/office/drawing/2014/main" id="{A5B95AD5-4335-6FF7-F8C5-9524DED11851}"/>
            </a:ext>
          </a:extLst>
        </xdr:cNvPr>
        <xdr:cNvSpPr>
          <a:spLocks noChangeShapeType="1"/>
        </xdr:cNvSpPr>
      </xdr:nvSpPr>
      <xdr:spPr bwMode="auto">
        <a:xfrm>
          <a:off x="8267700" y="2743200"/>
          <a:ext cx="247650" cy="57150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14</xdr:col>
      <xdr:colOff>0</xdr:colOff>
      <xdr:row>20</xdr:row>
      <xdr:rowOff>0</xdr:rowOff>
    </xdr:from>
    <xdr:to>
      <xdr:col>15</xdr:col>
      <xdr:colOff>0</xdr:colOff>
      <xdr:row>20</xdr:row>
      <xdr:rowOff>152400</xdr:rowOff>
    </xdr:to>
    <xdr:sp macro="" textlink="">
      <xdr:nvSpPr>
        <xdr:cNvPr id="26766" name="Triangle 9">
          <a:extLst>
            <a:ext uri="{FF2B5EF4-FFF2-40B4-BE49-F238E27FC236}">
              <a16:creationId xmlns:a16="http://schemas.microsoft.com/office/drawing/2014/main" id="{BD0568B3-A2D3-CF5A-7654-95CD30E4060D}"/>
            </a:ext>
          </a:extLst>
        </xdr:cNvPr>
        <xdr:cNvSpPr/>
      </xdr:nvSpPr>
      <xdr:spPr>
        <a:xfrm rot="16200000">
          <a:off x="9734550" y="5143500"/>
          <a:ext cx="152400" cy="152400"/>
        </a:xfrm>
        <a:prstGeom prst="triangle">
          <a:avLst/>
        </a:prstGeom>
        <a:solidFill>
          <a:srgbClr val="00B0F0"/>
        </a:solidFill>
        <a:ln w="12700" cap="flat" cmpd="sng" algn="ctr">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12</xdr:col>
      <xdr:colOff>0</xdr:colOff>
      <xdr:row>20</xdr:row>
      <xdr:rowOff>76200</xdr:rowOff>
    </xdr:from>
    <xdr:to>
      <xdr:col>14</xdr:col>
      <xdr:colOff>0</xdr:colOff>
      <xdr:row>20</xdr:row>
      <xdr:rowOff>76200</xdr:rowOff>
    </xdr:to>
    <xdr:sp macro="" textlink="">
      <xdr:nvSpPr>
        <xdr:cNvPr id="26767" name="Line 138">
          <a:extLst>
            <a:ext uri="{FF2B5EF4-FFF2-40B4-BE49-F238E27FC236}">
              <a16:creationId xmlns:a16="http://schemas.microsoft.com/office/drawing/2014/main" id="{DD037E1C-DD3C-AD8F-DDD4-8FE896E3BDC2}"/>
            </a:ext>
          </a:extLst>
        </xdr:cNvPr>
        <xdr:cNvSpPr>
          <a:spLocks noChangeShapeType="1"/>
        </xdr:cNvSpPr>
      </xdr:nvSpPr>
      <xdr:spPr bwMode="auto">
        <a:xfrm>
          <a:off x="8515350" y="5219700"/>
          <a:ext cx="12192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0</xdr:colOff>
      <xdr:row>20</xdr:row>
      <xdr:rowOff>76200</xdr:rowOff>
    </xdr:from>
    <xdr:to>
      <xdr:col>12</xdr:col>
      <xdr:colOff>0</xdr:colOff>
      <xdr:row>22</xdr:row>
      <xdr:rowOff>76200</xdr:rowOff>
    </xdr:to>
    <xdr:sp macro="" textlink="">
      <xdr:nvSpPr>
        <xdr:cNvPr id="26768" name="Line 139">
          <a:extLst>
            <a:ext uri="{FF2B5EF4-FFF2-40B4-BE49-F238E27FC236}">
              <a16:creationId xmlns:a16="http://schemas.microsoft.com/office/drawing/2014/main" id="{77D009B9-8344-B0F7-378E-B7456956D04C}"/>
            </a:ext>
          </a:extLst>
        </xdr:cNvPr>
        <xdr:cNvSpPr>
          <a:spLocks noChangeShapeType="1"/>
        </xdr:cNvSpPr>
      </xdr:nvSpPr>
      <xdr:spPr bwMode="auto">
        <a:xfrm flipV="1">
          <a:off x="8267700" y="5219700"/>
          <a:ext cx="247650" cy="38100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14</xdr:col>
      <xdr:colOff>0</xdr:colOff>
      <xdr:row>25</xdr:row>
      <xdr:rowOff>0</xdr:rowOff>
    </xdr:from>
    <xdr:to>
      <xdr:col>15</xdr:col>
      <xdr:colOff>0</xdr:colOff>
      <xdr:row>25</xdr:row>
      <xdr:rowOff>152400</xdr:rowOff>
    </xdr:to>
    <xdr:sp macro="" textlink="">
      <xdr:nvSpPr>
        <xdr:cNvPr id="26769" name="Triangle 10">
          <a:extLst>
            <a:ext uri="{FF2B5EF4-FFF2-40B4-BE49-F238E27FC236}">
              <a16:creationId xmlns:a16="http://schemas.microsoft.com/office/drawing/2014/main" id="{2B280015-2FE9-E713-EE97-20671329188C}"/>
            </a:ext>
          </a:extLst>
        </xdr:cNvPr>
        <xdr:cNvSpPr/>
      </xdr:nvSpPr>
      <xdr:spPr>
        <a:xfrm rot="16200000">
          <a:off x="9734550" y="6096000"/>
          <a:ext cx="152400" cy="152400"/>
        </a:xfrm>
        <a:prstGeom prst="triangle">
          <a:avLst/>
        </a:prstGeom>
        <a:solidFill>
          <a:srgbClr val="00B0F0"/>
        </a:solidFill>
        <a:ln w="12700" cap="flat" cmpd="sng" algn="ctr">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12</xdr:col>
      <xdr:colOff>0</xdr:colOff>
      <xdr:row>25</xdr:row>
      <xdr:rowOff>76200</xdr:rowOff>
    </xdr:from>
    <xdr:to>
      <xdr:col>14</xdr:col>
      <xdr:colOff>0</xdr:colOff>
      <xdr:row>25</xdr:row>
      <xdr:rowOff>76200</xdr:rowOff>
    </xdr:to>
    <xdr:sp macro="" textlink="">
      <xdr:nvSpPr>
        <xdr:cNvPr id="26770" name="Line 140">
          <a:extLst>
            <a:ext uri="{FF2B5EF4-FFF2-40B4-BE49-F238E27FC236}">
              <a16:creationId xmlns:a16="http://schemas.microsoft.com/office/drawing/2014/main" id="{47EFF633-6682-78DC-D820-C1C173901477}"/>
            </a:ext>
          </a:extLst>
        </xdr:cNvPr>
        <xdr:cNvSpPr>
          <a:spLocks noChangeShapeType="1"/>
        </xdr:cNvSpPr>
      </xdr:nvSpPr>
      <xdr:spPr bwMode="auto">
        <a:xfrm>
          <a:off x="8515350" y="6172200"/>
          <a:ext cx="12192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0</xdr:colOff>
      <xdr:row>22</xdr:row>
      <xdr:rowOff>76200</xdr:rowOff>
    </xdr:from>
    <xdr:to>
      <xdr:col>12</xdr:col>
      <xdr:colOff>0</xdr:colOff>
      <xdr:row>25</xdr:row>
      <xdr:rowOff>76200</xdr:rowOff>
    </xdr:to>
    <xdr:sp macro="" textlink="">
      <xdr:nvSpPr>
        <xdr:cNvPr id="26771" name="Line 141">
          <a:extLst>
            <a:ext uri="{FF2B5EF4-FFF2-40B4-BE49-F238E27FC236}">
              <a16:creationId xmlns:a16="http://schemas.microsoft.com/office/drawing/2014/main" id="{C613FBD8-596E-0DDD-2F9C-B68E289F08DC}"/>
            </a:ext>
          </a:extLst>
        </xdr:cNvPr>
        <xdr:cNvSpPr>
          <a:spLocks noChangeShapeType="1"/>
        </xdr:cNvSpPr>
      </xdr:nvSpPr>
      <xdr:spPr bwMode="auto">
        <a:xfrm>
          <a:off x="8267700" y="5600700"/>
          <a:ext cx="247650" cy="57150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14</xdr:col>
      <xdr:colOff>0</xdr:colOff>
      <xdr:row>30</xdr:row>
      <xdr:rowOff>0</xdr:rowOff>
    </xdr:from>
    <xdr:to>
      <xdr:col>15</xdr:col>
      <xdr:colOff>0</xdr:colOff>
      <xdr:row>30</xdr:row>
      <xdr:rowOff>152400</xdr:rowOff>
    </xdr:to>
    <xdr:sp macro="" textlink="">
      <xdr:nvSpPr>
        <xdr:cNvPr id="26772" name="Triangle 11">
          <a:extLst>
            <a:ext uri="{FF2B5EF4-FFF2-40B4-BE49-F238E27FC236}">
              <a16:creationId xmlns:a16="http://schemas.microsoft.com/office/drawing/2014/main" id="{EB2A3630-AF95-EA65-B866-E1AE778E65D5}"/>
            </a:ext>
          </a:extLst>
        </xdr:cNvPr>
        <xdr:cNvSpPr/>
      </xdr:nvSpPr>
      <xdr:spPr>
        <a:xfrm rot="16200000">
          <a:off x="9734550" y="7048500"/>
          <a:ext cx="152400" cy="152400"/>
        </a:xfrm>
        <a:prstGeom prst="triangle">
          <a:avLst/>
        </a:prstGeom>
        <a:solidFill>
          <a:srgbClr val="00B0F0"/>
        </a:solidFill>
        <a:ln w="12700" cap="flat" cmpd="sng" algn="ctr">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12</xdr:col>
      <xdr:colOff>0</xdr:colOff>
      <xdr:row>30</xdr:row>
      <xdr:rowOff>76200</xdr:rowOff>
    </xdr:from>
    <xdr:to>
      <xdr:col>14</xdr:col>
      <xdr:colOff>0</xdr:colOff>
      <xdr:row>30</xdr:row>
      <xdr:rowOff>76200</xdr:rowOff>
    </xdr:to>
    <xdr:sp macro="" textlink="">
      <xdr:nvSpPr>
        <xdr:cNvPr id="26773" name="Line 142">
          <a:extLst>
            <a:ext uri="{FF2B5EF4-FFF2-40B4-BE49-F238E27FC236}">
              <a16:creationId xmlns:a16="http://schemas.microsoft.com/office/drawing/2014/main" id="{B80271B4-CB4F-6D36-B20F-2F89C8696E1A}"/>
            </a:ext>
          </a:extLst>
        </xdr:cNvPr>
        <xdr:cNvSpPr>
          <a:spLocks noChangeShapeType="1"/>
        </xdr:cNvSpPr>
      </xdr:nvSpPr>
      <xdr:spPr bwMode="auto">
        <a:xfrm>
          <a:off x="8515350" y="7124700"/>
          <a:ext cx="12192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0</xdr:colOff>
      <xdr:row>30</xdr:row>
      <xdr:rowOff>76200</xdr:rowOff>
    </xdr:from>
    <xdr:to>
      <xdr:col>12</xdr:col>
      <xdr:colOff>0</xdr:colOff>
      <xdr:row>35</xdr:row>
      <xdr:rowOff>76200</xdr:rowOff>
    </xdr:to>
    <xdr:sp macro="" textlink="">
      <xdr:nvSpPr>
        <xdr:cNvPr id="26774" name="Line 143">
          <a:extLst>
            <a:ext uri="{FF2B5EF4-FFF2-40B4-BE49-F238E27FC236}">
              <a16:creationId xmlns:a16="http://schemas.microsoft.com/office/drawing/2014/main" id="{639350E3-159F-E1D4-E049-74A8BC6238E6}"/>
            </a:ext>
          </a:extLst>
        </xdr:cNvPr>
        <xdr:cNvSpPr>
          <a:spLocks noChangeShapeType="1"/>
        </xdr:cNvSpPr>
      </xdr:nvSpPr>
      <xdr:spPr bwMode="auto">
        <a:xfrm flipV="1">
          <a:off x="8267700" y="7124700"/>
          <a:ext cx="247650" cy="95250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14</xdr:col>
      <xdr:colOff>0</xdr:colOff>
      <xdr:row>35</xdr:row>
      <xdr:rowOff>0</xdr:rowOff>
    </xdr:from>
    <xdr:to>
      <xdr:col>15</xdr:col>
      <xdr:colOff>0</xdr:colOff>
      <xdr:row>35</xdr:row>
      <xdr:rowOff>152400</xdr:rowOff>
    </xdr:to>
    <xdr:sp macro="" textlink="">
      <xdr:nvSpPr>
        <xdr:cNvPr id="26775" name="Triangle 12">
          <a:extLst>
            <a:ext uri="{FF2B5EF4-FFF2-40B4-BE49-F238E27FC236}">
              <a16:creationId xmlns:a16="http://schemas.microsoft.com/office/drawing/2014/main" id="{5115F357-A644-9215-D29D-8EB4D8B5EE56}"/>
            </a:ext>
          </a:extLst>
        </xdr:cNvPr>
        <xdr:cNvSpPr/>
      </xdr:nvSpPr>
      <xdr:spPr>
        <a:xfrm rot="16200000">
          <a:off x="9734550" y="8001000"/>
          <a:ext cx="152400" cy="152400"/>
        </a:xfrm>
        <a:prstGeom prst="triangle">
          <a:avLst/>
        </a:prstGeom>
        <a:solidFill>
          <a:srgbClr val="00B0F0"/>
        </a:solidFill>
        <a:ln w="12700" cap="flat" cmpd="sng" algn="ctr">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12</xdr:col>
      <xdr:colOff>0</xdr:colOff>
      <xdr:row>35</xdr:row>
      <xdr:rowOff>76200</xdr:rowOff>
    </xdr:from>
    <xdr:to>
      <xdr:col>14</xdr:col>
      <xdr:colOff>0</xdr:colOff>
      <xdr:row>35</xdr:row>
      <xdr:rowOff>76200</xdr:rowOff>
    </xdr:to>
    <xdr:sp macro="" textlink="">
      <xdr:nvSpPr>
        <xdr:cNvPr id="26776" name="Line 144">
          <a:extLst>
            <a:ext uri="{FF2B5EF4-FFF2-40B4-BE49-F238E27FC236}">
              <a16:creationId xmlns:a16="http://schemas.microsoft.com/office/drawing/2014/main" id="{F95DC49A-261B-FE1C-8021-ABEE4E3461CC}"/>
            </a:ext>
          </a:extLst>
        </xdr:cNvPr>
        <xdr:cNvSpPr>
          <a:spLocks noChangeShapeType="1"/>
        </xdr:cNvSpPr>
      </xdr:nvSpPr>
      <xdr:spPr bwMode="auto">
        <a:xfrm>
          <a:off x="8515350" y="8077200"/>
          <a:ext cx="12192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0</xdr:colOff>
      <xdr:row>35</xdr:row>
      <xdr:rowOff>76200</xdr:rowOff>
    </xdr:from>
    <xdr:to>
      <xdr:col>12</xdr:col>
      <xdr:colOff>0</xdr:colOff>
      <xdr:row>35</xdr:row>
      <xdr:rowOff>76200</xdr:rowOff>
    </xdr:to>
    <xdr:sp macro="" textlink="">
      <xdr:nvSpPr>
        <xdr:cNvPr id="26777" name="Line 145">
          <a:extLst>
            <a:ext uri="{FF2B5EF4-FFF2-40B4-BE49-F238E27FC236}">
              <a16:creationId xmlns:a16="http://schemas.microsoft.com/office/drawing/2014/main" id="{21CC9F5F-E0C0-F263-78ED-4742092FA224}"/>
            </a:ext>
          </a:extLst>
        </xdr:cNvPr>
        <xdr:cNvSpPr>
          <a:spLocks noChangeShapeType="1"/>
        </xdr:cNvSpPr>
      </xdr:nvSpPr>
      <xdr:spPr bwMode="auto">
        <a:xfrm>
          <a:off x="8267700" y="8077200"/>
          <a:ext cx="2476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14</xdr:col>
      <xdr:colOff>0</xdr:colOff>
      <xdr:row>40</xdr:row>
      <xdr:rowOff>0</xdr:rowOff>
    </xdr:from>
    <xdr:to>
      <xdr:col>15</xdr:col>
      <xdr:colOff>0</xdr:colOff>
      <xdr:row>40</xdr:row>
      <xdr:rowOff>152400</xdr:rowOff>
    </xdr:to>
    <xdr:sp macro="" textlink="">
      <xdr:nvSpPr>
        <xdr:cNvPr id="26778" name="Triangle 13">
          <a:extLst>
            <a:ext uri="{FF2B5EF4-FFF2-40B4-BE49-F238E27FC236}">
              <a16:creationId xmlns:a16="http://schemas.microsoft.com/office/drawing/2014/main" id="{15CFA22F-1E19-2F2E-8ED5-34CE80240686}"/>
            </a:ext>
          </a:extLst>
        </xdr:cNvPr>
        <xdr:cNvSpPr/>
      </xdr:nvSpPr>
      <xdr:spPr>
        <a:xfrm rot="16200000">
          <a:off x="9734550" y="8953500"/>
          <a:ext cx="152400" cy="152400"/>
        </a:xfrm>
        <a:prstGeom prst="triangle">
          <a:avLst/>
        </a:prstGeom>
        <a:solidFill>
          <a:srgbClr val="00B0F0"/>
        </a:solidFill>
        <a:ln w="12700" cap="flat" cmpd="sng" algn="ctr">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12</xdr:col>
      <xdr:colOff>0</xdr:colOff>
      <xdr:row>40</xdr:row>
      <xdr:rowOff>76200</xdr:rowOff>
    </xdr:from>
    <xdr:to>
      <xdr:col>14</xdr:col>
      <xdr:colOff>0</xdr:colOff>
      <xdr:row>40</xdr:row>
      <xdr:rowOff>76200</xdr:rowOff>
    </xdr:to>
    <xdr:sp macro="" textlink="">
      <xdr:nvSpPr>
        <xdr:cNvPr id="26779" name="Line 146">
          <a:extLst>
            <a:ext uri="{FF2B5EF4-FFF2-40B4-BE49-F238E27FC236}">
              <a16:creationId xmlns:a16="http://schemas.microsoft.com/office/drawing/2014/main" id="{8CFE06AE-7847-08BD-D51C-4FA3B433C9E7}"/>
            </a:ext>
          </a:extLst>
        </xdr:cNvPr>
        <xdr:cNvSpPr>
          <a:spLocks noChangeShapeType="1"/>
        </xdr:cNvSpPr>
      </xdr:nvSpPr>
      <xdr:spPr bwMode="auto">
        <a:xfrm>
          <a:off x="8515350" y="9029700"/>
          <a:ext cx="12192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0</xdr:colOff>
      <xdr:row>35</xdr:row>
      <xdr:rowOff>76200</xdr:rowOff>
    </xdr:from>
    <xdr:to>
      <xdr:col>12</xdr:col>
      <xdr:colOff>0</xdr:colOff>
      <xdr:row>40</xdr:row>
      <xdr:rowOff>76200</xdr:rowOff>
    </xdr:to>
    <xdr:sp macro="" textlink="">
      <xdr:nvSpPr>
        <xdr:cNvPr id="26780" name="Line 147">
          <a:extLst>
            <a:ext uri="{FF2B5EF4-FFF2-40B4-BE49-F238E27FC236}">
              <a16:creationId xmlns:a16="http://schemas.microsoft.com/office/drawing/2014/main" id="{70A916D9-BCD0-589D-A50C-351EF4E94026}"/>
            </a:ext>
          </a:extLst>
        </xdr:cNvPr>
        <xdr:cNvSpPr>
          <a:spLocks noChangeShapeType="1"/>
        </xdr:cNvSpPr>
      </xdr:nvSpPr>
      <xdr:spPr bwMode="auto">
        <a:xfrm>
          <a:off x="8267700" y="8077200"/>
          <a:ext cx="247650" cy="95250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xdr:col>
      <xdr:colOff>0</xdr:colOff>
      <xdr:row>19</xdr:row>
      <xdr:rowOff>0</xdr:rowOff>
    </xdr:from>
    <xdr:to>
      <xdr:col>3</xdr:col>
      <xdr:colOff>0</xdr:colOff>
      <xdr:row>19</xdr:row>
      <xdr:rowOff>152400</xdr:rowOff>
    </xdr:to>
    <xdr:sp macro="" textlink="">
      <xdr:nvSpPr>
        <xdr:cNvPr id="26781" name="Square 0">
          <a:extLst>
            <a:ext uri="{FF2B5EF4-FFF2-40B4-BE49-F238E27FC236}">
              <a16:creationId xmlns:a16="http://schemas.microsoft.com/office/drawing/2014/main" id="{59C73AE1-3ABD-545A-6353-D24161289437}"/>
            </a:ext>
          </a:extLst>
        </xdr:cNvPr>
        <xdr:cNvSpPr/>
      </xdr:nvSpPr>
      <xdr:spPr>
        <a:xfrm>
          <a:off x="4876800" y="4953000"/>
          <a:ext cx="152400" cy="152400"/>
        </a:xfrm>
        <a:prstGeom prst="rect">
          <a:avLst/>
        </a:prstGeom>
        <a:solidFill>
          <a:srgbClr val="FFFF00">
            <a:alpha val="50000"/>
          </a:srgbClr>
        </a:solidFill>
        <a:ln w="12700" cap="flat" cmpd="sng" algn="ctr">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19</xdr:row>
      <xdr:rowOff>76200</xdr:rowOff>
    </xdr:from>
    <xdr:to>
      <xdr:col>2</xdr:col>
      <xdr:colOff>0</xdr:colOff>
      <xdr:row>19</xdr:row>
      <xdr:rowOff>76200</xdr:rowOff>
    </xdr:to>
    <xdr:sp macro="" textlink="">
      <xdr:nvSpPr>
        <xdr:cNvPr id="26782" name="Line 148">
          <a:extLst>
            <a:ext uri="{FF2B5EF4-FFF2-40B4-BE49-F238E27FC236}">
              <a16:creationId xmlns:a16="http://schemas.microsoft.com/office/drawing/2014/main" id="{13482CD6-7E11-7579-1E1F-7AFD8BDD8B68}"/>
            </a:ext>
          </a:extLst>
        </xdr:cNvPr>
        <xdr:cNvSpPr>
          <a:spLocks noChangeShapeType="1"/>
        </xdr:cNvSpPr>
      </xdr:nvSpPr>
      <xdr:spPr bwMode="auto">
        <a:xfrm>
          <a:off x="4267200" y="5029200"/>
          <a:ext cx="6096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28</xdr:row>
      <xdr:rowOff>157576</xdr:rowOff>
    </xdr:from>
    <xdr:to>
      <xdr:col>10</xdr:col>
      <xdr:colOff>803413</xdr:colOff>
      <xdr:row>48</xdr:row>
      <xdr:rowOff>24848</xdr:rowOff>
    </xdr:to>
    <xdr:graphicFrame macro="">
      <xdr:nvGraphicFramePr>
        <xdr:cNvPr id="2" name="Chart 1">
          <a:extLst>
            <a:ext uri="{FF2B5EF4-FFF2-40B4-BE49-F238E27FC236}">
              <a16:creationId xmlns:a16="http://schemas.microsoft.com/office/drawing/2014/main" id="{C4CFBBB6-F39A-5BD2-2046-A5C3D4E445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0</xdr:colOff>
      <xdr:row>41</xdr:row>
      <xdr:rowOff>0</xdr:rowOff>
    </xdr:from>
    <xdr:to>
      <xdr:col>17</xdr:col>
      <xdr:colOff>0</xdr:colOff>
      <xdr:row>41</xdr:row>
      <xdr:rowOff>152400</xdr:rowOff>
    </xdr:to>
    <xdr:sp macro="" textlink="">
      <xdr:nvSpPr>
        <xdr:cNvPr id="18" name="Triangle 1">
          <a:extLst>
            <a:ext uri="{FF2B5EF4-FFF2-40B4-BE49-F238E27FC236}">
              <a16:creationId xmlns:a16="http://schemas.microsoft.com/office/drawing/2014/main" id="{C986572A-88A4-3291-22EF-E4696D15EBCA}"/>
            </a:ext>
          </a:extLst>
        </xdr:cNvPr>
        <xdr:cNvSpPr/>
      </xdr:nvSpPr>
      <xdr:spPr>
        <a:xfrm rot="16200000">
          <a:off x="11201400" y="2428875"/>
          <a:ext cx="152400" cy="152400"/>
        </a:xfrm>
        <a:prstGeom prst="triangle">
          <a:avLst/>
        </a:prstGeom>
        <a:solidFill>
          <a:srgbClr val="00B0F0"/>
        </a:solidFill>
        <a:ln w="12700" cap="flat" cmpd="sng" algn="ctr">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14</xdr:col>
      <xdr:colOff>0</xdr:colOff>
      <xdr:row>41</xdr:row>
      <xdr:rowOff>76200</xdr:rowOff>
    </xdr:from>
    <xdr:to>
      <xdr:col>16</xdr:col>
      <xdr:colOff>0</xdr:colOff>
      <xdr:row>41</xdr:row>
      <xdr:rowOff>76200</xdr:rowOff>
    </xdr:to>
    <xdr:sp macro="" textlink="">
      <xdr:nvSpPr>
        <xdr:cNvPr id="27670" name="Line 22">
          <a:extLst>
            <a:ext uri="{FF2B5EF4-FFF2-40B4-BE49-F238E27FC236}">
              <a16:creationId xmlns:a16="http://schemas.microsoft.com/office/drawing/2014/main" id="{9A811F51-1997-4D91-E179-E3660E16F8D8}"/>
            </a:ext>
          </a:extLst>
        </xdr:cNvPr>
        <xdr:cNvSpPr>
          <a:spLocks noChangeShapeType="1"/>
        </xdr:cNvSpPr>
      </xdr:nvSpPr>
      <xdr:spPr bwMode="auto">
        <a:xfrm>
          <a:off x="9982200" y="2505075"/>
          <a:ext cx="12192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0</xdr:colOff>
      <xdr:row>41</xdr:row>
      <xdr:rowOff>76200</xdr:rowOff>
    </xdr:from>
    <xdr:to>
      <xdr:col>14</xdr:col>
      <xdr:colOff>0</xdr:colOff>
      <xdr:row>48</xdr:row>
      <xdr:rowOff>76200</xdr:rowOff>
    </xdr:to>
    <xdr:sp macro="" textlink="">
      <xdr:nvSpPr>
        <xdr:cNvPr id="27671" name="Line 23">
          <a:extLst>
            <a:ext uri="{FF2B5EF4-FFF2-40B4-BE49-F238E27FC236}">
              <a16:creationId xmlns:a16="http://schemas.microsoft.com/office/drawing/2014/main" id="{568F9483-E60D-5B6F-DF48-1C67565D4C30}"/>
            </a:ext>
          </a:extLst>
        </xdr:cNvPr>
        <xdr:cNvSpPr>
          <a:spLocks noChangeShapeType="1"/>
        </xdr:cNvSpPr>
      </xdr:nvSpPr>
      <xdr:spPr bwMode="auto">
        <a:xfrm flipV="1">
          <a:off x="9734550" y="2505075"/>
          <a:ext cx="247650" cy="133350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16</xdr:col>
      <xdr:colOff>0</xdr:colOff>
      <xdr:row>46</xdr:row>
      <xdr:rowOff>0</xdr:rowOff>
    </xdr:from>
    <xdr:to>
      <xdr:col>17</xdr:col>
      <xdr:colOff>0</xdr:colOff>
      <xdr:row>46</xdr:row>
      <xdr:rowOff>152400</xdr:rowOff>
    </xdr:to>
    <xdr:sp macro="" textlink="">
      <xdr:nvSpPr>
        <xdr:cNvPr id="19" name="Triangle 2">
          <a:extLst>
            <a:ext uri="{FF2B5EF4-FFF2-40B4-BE49-F238E27FC236}">
              <a16:creationId xmlns:a16="http://schemas.microsoft.com/office/drawing/2014/main" id="{CDDA457E-39C4-9E9D-60DF-42C2FE360D8A}"/>
            </a:ext>
          </a:extLst>
        </xdr:cNvPr>
        <xdr:cNvSpPr/>
      </xdr:nvSpPr>
      <xdr:spPr>
        <a:xfrm rot="16200000">
          <a:off x="11201400" y="3381375"/>
          <a:ext cx="152400" cy="152400"/>
        </a:xfrm>
        <a:prstGeom prst="triangle">
          <a:avLst/>
        </a:prstGeom>
        <a:solidFill>
          <a:srgbClr val="00B0F0"/>
        </a:solidFill>
        <a:ln w="12700" cap="flat" cmpd="sng" algn="ctr">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14</xdr:col>
      <xdr:colOff>0</xdr:colOff>
      <xdr:row>46</xdr:row>
      <xdr:rowOff>76200</xdr:rowOff>
    </xdr:from>
    <xdr:to>
      <xdr:col>16</xdr:col>
      <xdr:colOff>0</xdr:colOff>
      <xdr:row>46</xdr:row>
      <xdr:rowOff>76200</xdr:rowOff>
    </xdr:to>
    <xdr:sp macro="" textlink="">
      <xdr:nvSpPr>
        <xdr:cNvPr id="27672" name="Line 24">
          <a:extLst>
            <a:ext uri="{FF2B5EF4-FFF2-40B4-BE49-F238E27FC236}">
              <a16:creationId xmlns:a16="http://schemas.microsoft.com/office/drawing/2014/main" id="{A0BBE4B3-C4FC-585C-A926-4DF3A8EBEDFA}"/>
            </a:ext>
          </a:extLst>
        </xdr:cNvPr>
        <xdr:cNvSpPr>
          <a:spLocks noChangeShapeType="1"/>
        </xdr:cNvSpPr>
      </xdr:nvSpPr>
      <xdr:spPr bwMode="auto">
        <a:xfrm>
          <a:off x="9982200" y="3457575"/>
          <a:ext cx="12192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0</xdr:colOff>
      <xdr:row>46</xdr:row>
      <xdr:rowOff>76200</xdr:rowOff>
    </xdr:from>
    <xdr:to>
      <xdr:col>14</xdr:col>
      <xdr:colOff>0</xdr:colOff>
      <xdr:row>48</xdr:row>
      <xdr:rowOff>76200</xdr:rowOff>
    </xdr:to>
    <xdr:sp macro="" textlink="">
      <xdr:nvSpPr>
        <xdr:cNvPr id="27673" name="Line 25">
          <a:extLst>
            <a:ext uri="{FF2B5EF4-FFF2-40B4-BE49-F238E27FC236}">
              <a16:creationId xmlns:a16="http://schemas.microsoft.com/office/drawing/2014/main" id="{CBF2DCE3-6E97-9731-F62F-1C8F5BD97564}"/>
            </a:ext>
          </a:extLst>
        </xdr:cNvPr>
        <xdr:cNvSpPr>
          <a:spLocks noChangeShapeType="1"/>
        </xdr:cNvSpPr>
      </xdr:nvSpPr>
      <xdr:spPr bwMode="auto">
        <a:xfrm flipV="1">
          <a:off x="9734550" y="3457575"/>
          <a:ext cx="247650" cy="38100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16</xdr:col>
      <xdr:colOff>0</xdr:colOff>
      <xdr:row>51</xdr:row>
      <xdr:rowOff>0</xdr:rowOff>
    </xdr:from>
    <xdr:to>
      <xdr:col>17</xdr:col>
      <xdr:colOff>0</xdr:colOff>
      <xdr:row>51</xdr:row>
      <xdr:rowOff>152400</xdr:rowOff>
    </xdr:to>
    <xdr:sp macro="" textlink="">
      <xdr:nvSpPr>
        <xdr:cNvPr id="20" name="Triangle 3">
          <a:extLst>
            <a:ext uri="{FF2B5EF4-FFF2-40B4-BE49-F238E27FC236}">
              <a16:creationId xmlns:a16="http://schemas.microsoft.com/office/drawing/2014/main" id="{56D0A89B-CD0C-36FE-6F02-F72FD241B2FB}"/>
            </a:ext>
          </a:extLst>
        </xdr:cNvPr>
        <xdr:cNvSpPr/>
      </xdr:nvSpPr>
      <xdr:spPr>
        <a:xfrm rot="16200000">
          <a:off x="11201400" y="4333875"/>
          <a:ext cx="152400" cy="152400"/>
        </a:xfrm>
        <a:prstGeom prst="triangle">
          <a:avLst/>
        </a:prstGeom>
        <a:solidFill>
          <a:srgbClr val="00B0F0"/>
        </a:solidFill>
        <a:ln w="12700" cap="flat" cmpd="sng" algn="ctr">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14</xdr:col>
      <xdr:colOff>0</xdr:colOff>
      <xdr:row>51</xdr:row>
      <xdr:rowOff>76200</xdr:rowOff>
    </xdr:from>
    <xdr:to>
      <xdr:col>16</xdr:col>
      <xdr:colOff>0</xdr:colOff>
      <xdr:row>51</xdr:row>
      <xdr:rowOff>76200</xdr:rowOff>
    </xdr:to>
    <xdr:sp macro="" textlink="">
      <xdr:nvSpPr>
        <xdr:cNvPr id="27674" name="Line 26">
          <a:extLst>
            <a:ext uri="{FF2B5EF4-FFF2-40B4-BE49-F238E27FC236}">
              <a16:creationId xmlns:a16="http://schemas.microsoft.com/office/drawing/2014/main" id="{428F6B24-1C74-056E-42F9-78640910E16F}"/>
            </a:ext>
          </a:extLst>
        </xdr:cNvPr>
        <xdr:cNvSpPr>
          <a:spLocks noChangeShapeType="1"/>
        </xdr:cNvSpPr>
      </xdr:nvSpPr>
      <xdr:spPr bwMode="auto">
        <a:xfrm>
          <a:off x="9982200" y="4410075"/>
          <a:ext cx="12192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0</xdr:colOff>
      <xdr:row>48</xdr:row>
      <xdr:rowOff>76200</xdr:rowOff>
    </xdr:from>
    <xdr:to>
      <xdr:col>14</xdr:col>
      <xdr:colOff>0</xdr:colOff>
      <xdr:row>51</xdr:row>
      <xdr:rowOff>76200</xdr:rowOff>
    </xdr:to>
    <xdr:sp macro="" textlink="">
      <xdr:nvSpPr>
        <xdr:cNvPr id="27675" name="Line 27">
          <a:extLst>
            <a:ext uri="{FF2B5EF4-FFF2-40B4-BE49-F238E27FC236}">
              <a16:creationId xmlns:a16="http://schemas.microsoft.com/office/drawing/2014/main" id="{1F817B0C-5622-AAC0-C72D-5CD1D8D7EF7A}"/>
            </a:ext>
          </a:extLst>
        </xdr:cNvPr>
        <xdr:cNvSpPr>
          <a:spLocks noChangeShapeType="1"/>
        </xdr:cNvSpPr>
      </xdr:nvSpPr>
      <xdr:spPr bwMode="auto">
        <a:xfrm>
          <a:off x="9734550" y="3838575"/>
          <a:ext cx="247650" cy="57150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16</xdr:col>
      <xdr:colOff>0</xdr:colOff>
      <xdr:row>56</xdr:row>
      <xdr:rowOff>0</xdr:rowOff>
    </xdr:from>
    <xdr:to>
      <xdr:col>17</xdr:col>
      <xdr:colOff>0</xdr:colOff>
      <xdr:row>56</xdr:row>
      <xdr:rowOff>152400</xdr:rowOff>
    </xdr:to>
    <xdr:sp macro="" textlink="">
      <xdr:nvSpPr>
        <xdr:cNvPr id="21" name="Triangle 4">
          <a:extLst>
            <a:ext uri="{FF2B5EF4-FFF2-40B4-BE49-F238E27FC236}">
              <a16:creationId xmlns:a16="http://schemas.microsoft.com/office/drawing/2014/main" id="{FFD19D5B-27E3-51AC-8A86-8902F70A6510}"/>
            </a:ext>
          </a:extLst>
        </xdr:cNvPr>
        <xdr:cNvSpPr/>
      </xdr:nvSpPr>
      <xdr:spPr>
        <a:xfrm rot="16200000">
          <a:off x="11201400" y="5286375"/>
          <a:ext cx="152400" cy="152400"/>
        </a:xfrm>
        <a:prstGeom prst="triangle">
          <a:avLst/>
        </a:prstGeom>
        <a:solidFill>
          <a:srgbClr val="00B0F0"/>
        </a:solidFill>
        <a:ln w="12700" cap="flat" cmpd="sng" algn="ctr">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14</xdr:col>
      <xdr:colOff>0</xdr:colOff>
      <xdr:row>56</xdr:row>
      <xdr:rowOff>76200</xdr:rowOff>
    </xdr:from>
    <xdr:to>
      <xdr:col>16</xdr:col>
      <xdr:colOff>0</xdr:colOff>
      <xdr:row>56</xdr:row>
      <xdr:rowOff>76200</xdr:rowOff>
    </xdr:to>
    <xdr:sp macro="" textlink="">
      <xdr:nvSpPr>
        <xdr:cNvPr id="27676" name="Line 28">
          <a:extLst>
            <a:ext uri="{FF2B5EF4-FFF2-40B4-BE49-F238E27FC236}">
              <a16:creationId xmlns:a16="http://schemas.microsoft.com/office/drawing/2014/main" id="{74548DE1-27AD-AB0B-3166-0CBC35E2245B}"/>
            </a:ext>
          </a:extLst>
        </xdr:cNvPr>
        <xdr:cNvSpPr>
          <a:spLocks noChangeShapeType="1"/>
        </xdr:cNvSpPr>
      </xdr:nvSpPr>
      <xdr:spPr bwMode="auto">
        <a:xfrm>
          <a:off x="9982200" y="5362575"/>
          <a:ext cx="12192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0</xdr:colOff>
      <xdr:row>48</xdr:row>
      <xdr:rowOff>76200</xdr:rowOff>
    </xdr:from>
    <xdr:to>
      <xdr:col>14</xdr:col>
      <xdr:colOff>0</xdr:colOff>
      <xdr:row>56</xdr:row>
      <xdr:rowOff>76200</xdr:rowOff>
    </xdr:to>
    <xdr:sp macro="" textlink="">
      <xdr:nvSpPr>
        <xdr:cNvPr id="27677" name="Line 29">
          <a:extLst>
            <a:ext uri="{FF2B5EF4-FFF2-40B4-BE49-F238E27FC236}">
              <a16:creationId xmlns:a16="http://schemas.microsoft.com/office/drawing/2014/main" id="{8C5ADC5E-02EE-308D-DF6F-BDAAAE722ED5}"/>
            </a:ext>
          </a:extLst>
        </xdr:cNvPr>
        <xdr:cNvSpPr>
          <a:spLocks noChangeShapeType="1"/>
        </xdr:cNvSpPr>
      </xdr:nvSpPr>
      <xdr:spPr bwMode="auto">
        <a:xfrm>
          <a:off x="9734550" y="3838575"/>
          <a:ext cx="247650" cy="152400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0</xdr:colOff>
      <xdr:row>48</xdr:row>
      <xdr:rowOff>0</xdr:rowOff>
    </xdr:from>
    <xdr:to>
      <xdr:col>13</xdr:col>
      <xdr:colOff>0</xdr:colOff>
      <xdr:row>48</xdr:row>
      <xdr:rowOff>152400</xdr:rowOff>
    </xdr:to>
    <xdr:sp macro="" textlink="">
      <xdr:nvSpPr>
        <xdr:cNvPr id="22" name="Circle 0">
          <a:extLst>
            <a:ext uri="{FF2B5EF4-FFF2-40B4-BE49-F238E27FC236}">
              <a16:creationId xmlns:a16="http://schemas.microsoft.com/office/drawing/2014/main" id="{A35B7F9F-70C2-1BA8-4D31-6E992F85B6D1}"/>
            </a:ext>
          </a:extLst>
        </xdr:cNvPr>
        <xdr:cNvSpPr/>
      </xdr:nvSpPr>
      <xdr:spPr>
        <a:xfrm>
          <a:off x="9582150" y="3762375"/>
          <a:ext cx="152400" cy="152400"/>
        </a:xfrm>
        <a:prstGeom prst="ellipse">
          <a:avLst/>
        </a:prstGeom>
        <a:solidFill>
          <a:srgbClr val="00FF00"/>
        </a:solidFill>
        <a:ln w="12700" cap="flat" cmpd="sng" algn="ctr">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11</xdr:col>
      <xdr:colOff>0</xdr:colOff>
      <xdr:row>48</xdr:row>
      <xdr:rowOff>76200</xdr:rowOff>
    </xdr:from>
    <xdr:to>
      <xdr:col>12</xdr:col>
      <xdr:colOff>0</xdr:colOff>
      <xdr:row>48</xdr:row>
      <xdr:rowOff>76200</xdr:rowOff>
    </xdr:to>
    <xdr:sp macro="" textlink="">
      <xdr:nvSpPr>
        <xdr:cNvPr id="27678" name="Line 30">
          <a:extLst>
            <a:ext uri="{FF2B5EF4-FFF2-40B4-BE49-F238E27FC236}">
              <a16:creationId xmlns:a16="http://schemas.microsoft.com/office/drawing/2014/main" id="{C19B01B5-578F-DDB3-55F2-41D2A0DF36EE}"/>
            </a:ext>
          </a:extLst>
        </xdr:cNvPr>
        <xdr:cNvSpPr>
          <a:spLocks noChangeShapeType="1"/>
        </xdr:cNvSpPr>
      </xdr:nvSpPr>
      <xdr:spPr bwMode="auto">
        <a:xfrm>
          <a:off x="8972550" y="3838575"/>
          <a:ext cx="6096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1018761</xdr:colOff>
      <xdr:row>56</xdr:row>
      <xdr:rowOff>131692</xdr:rowOff>
    </xdr:from>
    <xdr:to>
      <xdr:col>8</xdr:col>
      <xdr:colOff>0</xdr:colOff>
      <xdr:row>72</xdr:row>
      <xdr:rowOff>0</xdr:rowOff>
    </xdr:to>
    <xdr:graphicFrame macro="">
      <xdr:nvGraphicFramePr>
        <xdr:cNvPr id="23" name="Chart 22">
          <a:extLst>
            <a:ext uri="{FF2B5EF4-FFF2-40B4-BE49-F238E27FC236}">
              <a16:creationId xmlns:a16="http://schemas.microsoft.com/office/drawing/2014/main" id="{912C5A5A-9790-4C40-53A2-7E9D73A475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1188554</xdr:colOff>
      <xdr:row>67</xdr:row>
      <xdr:rowOff>7453</xdr:rowOff>
    </xdr:from>
    <xdr:to>
      <xdr:col>9</xdr:col>
      <xdr:colOff>621196</xdr:colOff>
      <xdr:row>90</xdr:row>
      <xdr:rowOff>57978</xdr:rowOff>
    </xdr:to>
    <xdr:graphicFrame macro="">
      <xdr:nvGraphicFramePr>
        <xdr:cNvPr id="4" name="Chart 3">
          <a:extLst>
            <a:ext uri="{FF2B5EF4-FFF2-40B4-BE49-F238E27FC236}">
              <a16:creationId xmlns:a16="http://schemas.microsoft.com/office/drawing/2014/main" id="{35113158-BBAE-DAB9-7547-DBB85D99A5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63499</xdr:colOff>
      <xdr:row>6</xdr:row>
      <xdr:rowOff>1</xdr:rowOff>
    </xdr:from>
    <xdr:to>
      <xdr:col>8</xdr:col>
      <xdr:colOff>0</xdr:colOff>
      <xdr:row>18</xdr:row>
      <xdr:rowOff>1</xdr:rowOff>
    </xdr:to>
    <xdr:graphicFrame macro="">
      <xdr:nvGraphicFramePr>
        <xdr:cNvPr id="10" name="Chart 9">
          <a:extLst>
            <a:ext uri="{FF2B5EF4-FFF2-40B4-BE49-F238E27FC236}">
              <a16:creationId xmlns:a16="http://schemas.microsoft.com/office/drawing/2014/main" id="{85DC8632-0BD3-0C4A-4C3A-7961E0E776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0</xdr:colOff>
      <xdr:row>41</xdr:row>
      <xdr:rowOff>0</xdr:rowOff>
    </xdr:from>
    <xdr:to>
      <xdr:col>17</xdr:col>
      <xdr:colOff>0</xdr:colOff>
      <xdr:row>41</xdr:row>
      <xdr:rowOff>152400</xdr:rowOff>
    </xdr:to>
    <xdr:sp macro="" textlink="">
      <xdr:nvSpPr>
        <xdr:cNvPr id="2" name="Triangle 1">
          <a:extLst>
            <a:ext uri="{FF2B5EF4-FFF2-40B4-BE49-F238E27FC236}">
              <a16:creationId xmlns:a16="http://schemas.microsoft.com/office/drawing/2014/main" id="{9BAB5A4E-A020-4641-A837-66430A2FAA3C}"/>
            </a:ext>
          </a:extLst>
        </xdr:cNvPr>
        <xdr:cNvSpPr/>
      </xdr:nvSpPr>
      <xdr:spPr>
        <a:xfrm rot="16200000">
          <a:off x="11734800" y="2314575"/>
          <a:ext cx="152400" cy="152400"/>
        </a:xfrm>
        <a:prstGeom prst="triangle">
          <a:avLst/>
        </a:prstGeom>
        <a:solidFill>
          <a:srgbClr val="00B0F0"/>
        </a:solidFill>
        <a:ln w="12700" cap="flat" cmpd="sng" algn="ctr">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14</xdr:col>
      <xdr:colOff>0</xdr:colOff>
      <xdr:row>41</xdr:row>
      <xdr:rowOff>76200</xdr:rowOff>
    </xdr:from>
    <xdr:to>
      <xdr:col>16</xdr:col>
      <xdr:colOff>0</xdr:colOff>
      <xdr:row>41</xdr:row>
      <xdr:rowOff>76200</xdr:rowOff>
    </xdr:to>
    <xdr:sp macro="" textlink="">
      <xdr:nvSpPr>
        <xdr:cNvPr id="3" name="Line 22">
          <a:extLst>
            <a:ext uri="{FF2B5EF4-FFF2-40B4-BE49-F238E27FC236}">
              <a16:creationId xmlns:a16="http://schemas.microsoft.com/office/drawing/2014/main" id="{EAB46964-BF8F-407D-BFF0-FC283AD8BC4A}"/>
            </a:ext>
          </a:extLst>
        </xdr:cNvPr>
        <xdr:cNvSpPr>
          <a:spLocks noChangeShapeType="1"/>
        </xdr:cNvSpPr>
      </xdr:nvSpPr>
      <xdr:spPr bwMode="auto">
        <a:xfrm>
          <a:off x="9810750" y="2390775"/>
          <a:ext cx="19240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0</xdr:colOff>
      <xdr:row>41</xdr:row>
      <xdr:rowOff>76200</xdr:rowOff>
    </xdr:from>
    <xdr:to>
      <xdr:col>14</xdr:col>
      <xdr:colOff>0</xdr:colOff>
      <xdr:row>48</xdr:row>
      <xdr:rowOff>76200</xdr:rowOff>
    </xdr:to>
    <xdr:sp macro="" textlink="">
      <xdr:nvSpPr>
        <xdr:cNvPr id="4" name="Line 23">
          <a:extLst>
            <a:ext uri="{FF2B5EF4-FFF2-40B4-BE49-F238E27FC236}">
              <a16:creationId xmlns:a16="http://schemas.microsoft.com/office/drawing/2014/main" id="{94C933E2-2C39-4D84-9F0D-C19F70BA7DD0}"/>
            </a:ext>
          </a:extLst>
        </xdr:cNvPr>
        <xdr:cNvSpPr>
          <a:spLocks noChangeShapeType="1"/>
        </xdr:cNvSpPr>
      </xdr:nvSpPr>
      <xdr:spPr bwMode="auto">
        <a:xfrm flipV="1">
          <a:off x="9563100" y="2390775"/>
          <a:ext cx="247650" cy="133350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16</xdr:col>
      <xdr:colOff>0</xdr:colOff>
      <xdr:row>46</xdr:row>
      <xdr:rowOff>0</xdr:rowOff>
    </xdr:from>
    <xdr:to>
      <xdr:col>17</xdr:col>
      <xdr:colOff>0</xdr:colOff>
      <xdr:row>46</xdr:row>
      <xdr:rowOff>152400</xdr:rowOff>
    </xdr:to>
    <xdr:sp macro="" textlink="">
      <xdr:nvSpPr>
        <xdr:cNvPr id="5" name="Triangle 2">
          <a:extLst>
            <a:ext uri="{FF2B5EF4-FFF2-40B4-BE49-F238E27FC236}">
              <a16:creationId xmlns:a16="http://schemas.microsoft.com/office/drawing/2014/main" id="{C10BCB51-DDF1-4B93-9A97-2A74F52D5461}"/>
            </a:ext>
          </a:extLst>
        </xdr:cNvPr>
        <xdr:cNvSpPr/>
      </xdr:nvSpPr>
      <xdr:spPr>
        <a:xfrm rot="16200000">
          <a:off x="11734800" y="3267075"/>
          <a:ext cx="152400" cy="152400"/>
        </a:xfrm>
        <a:prstGeom prst="triangle">
          <a:avLst/>
        </a:prstGeom>
        <a:solidFill>
          <a:srgbClr val="00B0F0"/>
        </a:solidFill>
        <a:ln w="12700" cap="flat" cmpd="sng" algn="ctr">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14</xdr:col>
      <xdr:colOff>0</xdr:colOff>
      <xdr:row>46</xdr:row>
      <xdr:rowOff>76200</xdr:rowOff>
    </xdr:from>
    <xdr:to>
      <xdr:col>16</xdr:col>
      <xdr:colOff>0</xdr:colOff>
      <xdr:row>46</xdr:row>
      <xdr:rowOff>76200</xdr:rowOff>
    </xdr:to>
    <xdr:sp macro="" textlink="">
      <xdr:nvSpPr>
        <xdr:cNvPr id="6" name="Line 24">
          <a:extLst>
            <a:ext uri="{FF2B5EF4-FFF2-40B4-BE49-F238E27FC236}">
              <a16:creationId xmlns:a16="http://schemas.microsoft.com/office/drawing/2014/main" id="{80E86E9E-55CA-467D-9767-1D5A8D5F079C}"/>
            </a:ext>
          </a:extLst>
        </xdr:cNvPr>
        <xdr:cNvSpPr>
          <a:spLocks noChangeShapeType="1"/>
        </xdr:cNvSpPr>
      </xdr:nvSpPr>
      <xdr:spPr bwMode="auto">
        <a:xfrm>
          <a:off x="9810750" y="3343275"/>
          <a:ext cx="19240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0</xdr:colOff>
      <xdr:row>46</xdr:row>
      <xdr:rowOff>76200</xdr:rowOff>
    </xdr:from>
    <xdr:to>
      <xdr:col>14</xdr:col>
      <xdr:colOff>0</xdr:colOff>
      <xdr:row>48</xdr:row>
      <xdr:rowOff>76200</xdr:rowOff>
    </xdr:to>
    <xdr:sp macro="" textlink="">
      <xdr:nvSpPr>
        <xdr:cNvPr id="7" name="Line 25">
          <a:extLst>
            <a:ext uri="{FF2B5EF4-FFF2-40B4-BE49-F238E27FC236}">
              <a16:creationId xmlns:a16="http://schemas.microsoft.com/office/drawing/2014/main" id="{CBC2B7BE-2280-4BA6-8721-7A7F613D70E8}"/>
            </a:ext>
          </a:extLst>
        </xdr:cNvPr>
        <xdr:cNvSpPr>
          <a:spLocks noChangeShapeType="1"/>
        </xdr:cNvSpPr>
      </xdr:nvSpPr>
      <xdr:spPr bwMode="auto">
        <a:xfrm flipV="1">
          <a:off x="9563100" y="3343275"/>
          <a:ext cx="247650" cy="38100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16</xdr:col>
      <xdr:colOff>0</xdr:colOff>
      <xdr:row>51</xdr:row>
      <xdr:rowOff>0</xdr:rowOff>
    </xdr:from>
    <xdr:to>
      <xdr:col>17</xdr:col>
      <xdr:colOff>0</xdr:colOff>
      <xdr:row>51</xdr:row>
      <xdr:rowOff>152400</xdr:rowOff>
    </xdr:to>
    <xdr:sp macro="" textlink="">
      <xdr:nvSpPr>
        <xdr:cNvPr id="8" name="Triangle 3">
          <a:extLst>
            <a:ext uri="{FF2B5EF4-FFF2-40B4-BE49-F238E27FC236}">
              <a16:creationId xmlns:a16="http://schemas.microsoft.com/office/drawing/2014/main" id="{6098F4A4-88F5-4F54-9794-3D23B29DEEA8}"/>
            </a:ext>
          </a:extLst>
        </xdr:cNvPr>
        <xdr:cNvSpPr/>
      </xdr:nvSpPr>
      <xdr:spPr>
        <a:xfrm rot="16200000">
          <a:off x="11734800" y="4219575"/>
          <a:ext cx="152400" cy="152400"/>
        </a:xfrm>
        <a:prstGeom prst="triangle">
          <a:avLst/>
        </a:prstGeom>
        <a:solidFill>
          <a:srgbClr val="00B0F0"/>
        </a:solidFill>
        <a:ln w="12700" cap="flat" cmpd="sng" algn="ctr">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14</xdr:col>
      <xdr:colOff>0</xdr:colOff>
      <xdr:row>51</xdr:row>
      <xdr:rowOff>76200</xdr:rowOff>
    </xdr:from>
    <xdr:to>
      <xdr:col>16</xdr:col>
      <xdr:colOff>0</xdr:colOff>
      <xdr:row>51</xdr:row>
      <xdr:rowOff>76200</xdr:rowOff>
    </xdr:to>
    <xdr:sp macro="" textlink="">
      <xdr:nvSpPr>
        <xdr:cNvPr id="9" name="Line 26">
          <a:extLst>
            <a:ext uri="{FF2B5EF4-FFF2-40B4-BE49-F238E27FC236}">
              <a16:creationId xmlns:a16="http://schemas.microsoft.com/office/drawing/2014/main" id="{3421DB36-DF34-4E66-979B-B6450EDAB319}"/>
            </a:ext>
          </a:extLst>
        </xdr:cNvPr>
        <xdr:cNvSpPr>
          <a:spLocks noChangeShapeType="1"/>
        </xdr:cNvSpPr>
      </xdr:nvSpPr>
      <xdr:spPr bwMode="auto">
        <a:xfrm>
          <a:off x="9810750" y="4295775"/>
          <a:ext cx="19240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0</xdr:colOff>
      <xdr:row>48</xdr:row>
      <xdr:rowOff>76200</xdr:rowOff>
    </xdr:from>
    <xdr:to>
      <xdr:col>14</xdr:col>
      <xdr:colOff>0</xdr:colOff>
      <xdr:row>51</xdr:row>
      <xdr:rowOff>76200</xdr:rowOff>
    </xdr:to>
    <xdr:sp macro="" textlink="">
      <xdr:nvSpPr>
        <xdr:cNvPr id="10" name="Line 27">
          <a:extLst>
            <a:ext uri="{FF2B5EF4-FFF2-40B4-BE49-F238E27FC236}">
              <a16:creationId xmlns:a16="http://schemas.microsoft.com/office/drawing/2014/main" id="{41E8539B-3D7E-4BE7-A94A-14592AB348DD}"/>
            </a:ext>
          </a:extLst>
        </xdr:cNvPr>
        <xdr:cNvSpPr>
          <a:spLocks noChangeShapeType="1"/>
        </xdr:cNvSpPr>
      </xdr:nvSpPr>
      <xdr:spPr bwMode="auto">
        <a:xfrm>
          <a:off x="9563100" y="3724275"/>
          <a:ext cx="247650" cy="57150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16</xdr:col>
      <xdr:colOff>0</xdr:colOff>
      <xdr:row>56</xdr:row>
      <xdr:rowOff>0</xdr:rowOff>
    </xdr:from>
    <xdr:to>
      <xdr:col>17</xdr:col>
      <xdr:colOff>0</xdr:colOff>
      <xdr:row>56</xdr:row>
      <xdr:rowOff>152400</xdr:rowOff>
    </xdr:to>
    <xdr:sp macro="" textlink="">
      <xdr:nvSpPr>
        <xdr:cNvPr id="11" name="Triangle 4">
          <a:extLst>
            <a:ext uri="{FF2B5EF4-FFF2-40B4-BE49-F238E27FC236}">
              <a16:creationId xmlns:a16="http://schemas.microsoft.com/office/drawing/2014/main" id="{92BBF45F-CD90-40AD-B550-DF037B5151B5}"/>
            </a:ext>
          </a:extLst>
        </xdr:cNvPr>
        <xdr:cNvSpPr/>
      </xdr:nvSpPr>
      <xdr:spPr>
        <a:xfrm rot="16200000">
          <a:off x="11734800" y="5172075"/>
          <a:ext cx="152400" cy="152400"/>
        </a:xfrm>
        <a:prstGeom prst="triangle">
          <a:avLst/>
        </a:prstGeom>
        <a:solidFill>
          <a:srgbClr val="00B0F0"/>
        </a:solidFill>
        <a:ln w="12700" cap="flat" cmpd="sng" algn="ctr">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14</xdr:col>
      <xdr:colOff>0</xdr:colOff>
      <xdr:row>56</xdr:row>
      <xdr:rowOff>76200</xdr:rowOff>
    </xdr:from>
    <xdr:to>
      <xdr:col>16</xdr:col>
      <xdr:colOff>0</xdr:colOff>
      <xdr:row>56</xdr:row>
      <xdr:rowOff>76200</xdr:rowOff>
    </xdr:to>
    <xdr:sp macro="" textlink="">
      <xdr:nvSpPr>
        <xdr:cNvPr id="12" name="Line 28">
          <a:extLst>
            <a:ext uri="{FF2B5EF4-FFF2-40B4-BE49-F238E27FC236}">
              <a16:creationId xmlns:a16="http://schemas.microsoft.com/office/drawing/2014/main" id="{B59154B3-61F5-4AFB-8188-B99C9062728E}"/>
            </a:ext>
          </a:extLst>
        </xdr:cNvPr>
        <xdr:cNvSpPr>
          <a:spLocks noChangeShapeType="1"/>
        </xdr:cNvSpPr>
      </xdr:nvSpPr>
      <xdr:spPr bwMode="auto">
        <a:xfrm>
          <a:off x="9810750" y="5248275"/>
          <a:ext cx="19240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0</xdr:colOff>
      <xdr:row>48</xdr:row>
      <xdr:rowOff>76200</xdr:rowOff>
    </xdr:from>
    <xdr:to>
      <xdr:col>14</xdr:col>
      <xdr:colOff>0</xdr:colOff>
      <xdr:row>56</xdr:row>
      <xdr:rowOff>76200</xdr:rowOff>
    </xdr:to>
    <xdr:sp macro="" textlink="">
      <xdr:nvSpPr>
        <xdr:cNvPr id="13" name="Line 29">
          <a:extLst>
            <a:ext uri="{FF2B5EF4-FFF2-40B4-BE49-F238E27FC236}">
              <a16:creationId xmlns:a16="http://schemas.microsoft.com/office/drawing/2014/main" id="{781B9E3E-89D1-4163-9A0F-63B8D5EF1030}"/>
            </a:ext>
          </a:extLst>
        </xdr:cNvPr>
        <xdr:cNvSpPr>
          <a:spLocks noChangeShapeType="1"/>
        </xdr:cNvSpPr>
      </xdr:nvSpPr>
      <xdr:spPr bwMode="auto">
        <a:xfrm>
          <a:off x="9563100" y="3724275"/>
          <a:ext cx="247650" cy="152400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0</xdr:colOff>
      <xdr:row>48</xdr:row>
      <xdr:rowOff>0</xdr:rowOff>
    </xdr:from>
    <xdr:to>
      <xdr:col>13</xdr:col>
      <xdr:colOff>0</xdr:colOff>
      <xdr:row>48</xdr:row>
      <xdr:rowOff>152400</xdr:rowOff>
    </xdr:to>
    <xdr:sp macro="" textlink="">
      <xdr:nvSpPr>
        <xdr:cNvPr id="14" name="Circle 0">
          <a:extLst>
            <a:ext uri="{FF2B5EF4-FFF2-40B4-BE49-F238E27FC236}">
              <a16:creationId xmlns:a16="http://schemas.microsoft.com/office/drawing/2014/main" id="{F0E50AE0-EC57-4F39-9652-9F0E684CD5EB}"/>
            </a:ext>
          </a:extLst>
        </xdr:cNvPr>
        <xdr:cNvSpPr/>
      </xdr:nvSpPr>
      <xdr:spPr>
        <a:xfrm>
          <a:off x="9410700" y="3648075"/>
          <a:ext cx="152400" cy="152400"/>
        </a:xfrm>
        <a:prstGeom prst="ellipse">
          <a:avLst/>
        </a:prstGeom>
        <a:solidFill>
          <a:srgbClr val="00FF00"/>
        </a:solidFill>
        <a:ln w="12700" cap="flat" cmpd="sng" algn="ctr">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11</xdr:col>
      <xdr:colOff>0</xdr:colOff>
      <xdr:row>48</xdr:row>
      <xdr:rowOff>76200</xdr:rowOff>
    </xdr:from>
    <xdr:to>
      <xdr:col>12</xdr:col>
      <xdr:colOff>0</xdr:colOff>
      <xdr:row>48</xdr:row>
      <xdr:rowOff>76200</xdr:rowOff>
    </xdr:to>
    <xdr:sp macro="" textlink="">
      <xdr:nvSpPr>
        <xdr:cNvPr id="15" name="Line 30">
          <a:extLst>
            <a:ext uri="{FF2B5EF4-FFF2-40B4-BE49-F238E27FC236}">
              <a16:creationId xmlns:a16="http://schemas.microsoft.com/office/drawing/2014/main" id="{B5DCC2C7-0C3B-4428-9458-753F00F82958}"/>
            </a:ext>
          </a:extLst>
        </xdr:cNvPr>
        <xdr:cNvSpPr>
          <a:spLocks noChangeShapeType="1"/>
        </xdr:cNvSpPr>
      </xdr:nvSpPr>
      <xdr:spPr bwMode="auto">
        <a:xfrm>
          <a:off x="8448675" y="3724275"/>
          <a:ext cx="9620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non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74542</xdr:colOff>
      <xdr:row>76</xdr:row>
      <xdr:rowOff>66261</xdr:rowOff>
    </xdr:from>
    <xdr:to>
      <xdr:col>6</xdr:col>
      <xdr:colOff>0</xdr:colOff>
      <xdr:row>91</xdr:row>
      <xdr:rowOff>125069</xdr:rowOff>
    </xdr:to>
    <xdr:graphicFrame macro="">
      <xdr:nvGraphicFramePr>
        <xdr:cNvPr id="16" name="Chart 15">
          <a:extLst>
            <a:ext uri="{FF2B5EF4-FFF2-40B4-BE49-F238E27FC236}">
              <a16:creationId xmlns:a16="http://schemas.microsoft.com/office/drawing/2014/main" id="{4C34966C-45F2-4ECD-9500-C51E22B66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C31"/>
  <sheetViews>
    <sheetView workbookViewId="0"/>
  </sheetViews>
  <sheetFormatPr defaultRowHeight="15"/>
  <cols>
    <col min="1" max="2" width="36.7109375" customWidth="1"/>
  </cols>
  <sheetData>
    <row r="1" spans="1:3">
      <c r="A1" s="6" t="s">
        <v>37</v>
      </c>
    </row>
    <row r="3" spans="1:3">
      <c r="A3" t="s">
        <v>38</v>
      </c>
      <c r="B3" t="s">
        <v>39</v>
      </c>
      <c r="C3">
        <v>0</v>
      </c>
    </row>
    <row r="4" spans="1:3">
      <c r="A4" t="s">
        <v>40</v>
      </c>
    </row>
    <row r="5" spans="1:3">
      <c r="A5" t="s">
        <v>41</v>
      </c>
    </row>
    <row r="7" spans="1:3">
      <c r="A7" s="6" t="s">
        <v>42</v>
      </c>
      <c r="B7" t="s">
        <v>43</v>
      </c>
    </row>
    <row r="8" spans="1:3">
      <c r="B8">
        <v>2</v>
      </c>
    </row>
    <row r="10" spans="1:3">
      <c r="A10" t="s">
        <v>44</v>
      </c>
    </row>
    <row r="11" spans="1:3">
      <c r="A11" t="e">
        <f>CB_DATA_!#REF!</f>
        <v>#REF!</v>
      </c>
      <c r="B11" t="e">
        <f>#REF!</f>
        <v>#REF!</v>
      </c>
    </row>
    <row r="13" spans="1:3">
      <c r="A13" t="s">
        <v>45</v>
      </c>
    </row>
    <row r="14" spans="1:3">
      <c r="A14" t="s">
        <v>53</v>
      </c>
      <c r="B14" t="s">
        <v>49</v>
      </c>
    </row>
    <row r="16" spans="1:3">
      <c r="A16" t="s">
        <v>46</v>
      </c>
    </row>
    <row r="17" spans="1:2">
      <c r="B17">
        <v>4</v>
      </c>
    </row>
    <row r="19" spans="1:2">
      <c r="A19" t="s">
        <v>47</v>
      </c>
    </row>
    <row r="20" spans="1:2">
      <c r="A20">
        <v>31</v>
      </c>
      <c r="B20">
        <v>31</v>
      </c>
    </row>
    <row r="25" spans="1:2">
      <c r="A25" s="6" t="s">
        <v>48</v>
      </c>
    </row>
    <row r="26" spans="1:2">
      <c r="A26" s="41" t="s">
        <v>50</v>
      </c>
      <c r="B26" s="41" t="s">
        <v>50</v>
      </c>
    </row>
    <row r="27" spans="1:2">
      <c r="A27" t="s">
        <v>96</v>
      </c>
      <c r="B27" t="s">
        <v>97</v>
      </c>
    </row>
    <row r="28" spans="1:2">
      <c r="A28" s="41" t="s">
        <v>51</v>
      </c>
      <c r="B28" s="41" t="s">
        <v>51</v>
      </c>
    </row>
    <row r="29" spans="1:2">
      <c r="A29" s="41" t="s">
        <v>52</v>
      </c>
      <c r="B29" s="41" t="s">
        <v>52</v>
      </c>
    </row>
    <row r="30" spans="1:2">
      <c r="A30" t="s">
        <v>342</v>
      </c>
      <c r="B30" t="s">
        <v>98</v>
      </c>
    </row>
    <row r="31" spans="1:2">
      <c r="A31" s="41" t="s">
        <v>51</v>
      </c>
      <c r="B31" s="41" t="s">
        <v>51</v>
      </c>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F487B-2A0F-4B78-A19E-B4DDDA4EB17D}">
  <sheetPr codeName="Sheet17"/>
  <dimension ref="A1:GV1012"/>
  <sheetViews>
    <sheetView showGridLines="0" tabSelected="1" zoomScaleNormal="100" workbookViewId="0">
      <selection activeCell="J9" sqref="J9"/>
    </sheetView>
  </sheetViews>
  <sheetFormatPr defaultRowHeight="15"/>
  <cols>
    <col min="1" max="1" width="6.5703125" customWidth="1"/>
    <col min="2" max="2" width="27.140625" bestFit="1" customWidth="1"/>
    <col min="3" max="3" width="15.42578125" bestFit="1" customWidth="1"/>
    <col min="4" max="4" width="18" style="8" bestFit="1" customWidth="1"/>
    <col min="5" max="5" width="15.7109375" style="8" bestFit="1" customWidth="1"/>
    <col min="6" max="6" width="16.42578125" bestFit="1" customWidth="1"/>
    <col min="7" max="7" width="14.42578125" customWidth="1"/>
    <col min="8" max="8" width="13.85546875" bestFit="1" customWidth="1"/>
    <col min="9" max="9" width="16.140625" bestFit="1" customWidth="1"/>
    <col min="10" max="10" width="21" bestFit="1" customWidth="1"/>
    <col min="11" max="11" width="12.28515625" bestFit="1" customWidth="1"/>
    <col min="12" max="12" width="12.85546875" bestFit="1" customWidth="1"/>
    <col min="13" max="13" width="2.28515625" customWidth="1"/>
    <col min="14" max="14" width="12.85546875" style="48" bestFit="1" customWidth="1"/>
    <col min="15" max="15" width="13.42578125" bestFit="1" customWidth="1"/>
    <col min="16" max="16" width="2" customWidth="1"/>
    <col min="17" max="17" width="2.28515625" customWidth="1"/>
    <col min="18" max="18" width="13.7109375" bestFit="1" customWidth="1"/>
    <col min="19" max="19" width="13.42578125" bestFit="1" customWidth="1"/>
    <col min="20" max="20" width="1.42578125" customWidth="1"/>
    <col min="22" max="22" width="19.140625" bestFit="1" customWidth="1"/>
    <col min="23" max="23" width="13.7109375" bestFit="1" customWidth="1"/>
    <col min="24" max="24" width="2.140625" customWidth="1"/>
    <col min="25" max="25" width="13.7109375" bestFit="1" customWidth="1"/>
  </cols>
  <sheetData>
    <row r="1" spans="1:6" ht="23.25">
      <c r="A1" s="46" t="s">
        <v>206</v>
      </c>
    </row>
    <row r="2" spans="1:6">
      <c r="A2" t="s">
        <v>207</v>
      </c>
    </row>
    <row r="5" spans="1:6">
      <c r="B5" s="364" t="s">
        <v>210</v>
      </c>
      <c r="C5" s="365"/>
      <c r="D5" s="365"/>
      <c r="E5" s="366"/>
    </row>
    <row r="6" spans="1:6">
      <c r="B6" s="156"/>
      <c r="C6" s="157" t="s">
        <v>208</v>
      </c>
      <c r="D6" s="157" t="s">
        <v>218</v>
      </c>
      <c r="E6" s="29" t="s">
        <v>209</v>
      </c>
    </row>
    <row r="7" spans="1:6">
      <c r="B7" s="21" t="s">
        <v>211</v>
      </c>
      <c r="C7" s="158">
        <v>25000</v>
      </c>
      <c r="D7" s="158">
        <v>4000</v>
      </c>
      <c r="E7" s="159">
        <f>SUM(C7:D7)</f>
        <v>29000</v>
      </c>
    </row>
    <row r="8" spans="1:6">
      <c r="B8" s="21" t="s">
        <v>212</v>
      </c>
      <c r="C8" s="1">
        <v>3000000</v>
      </c>
      <c r="D8" s="1">
        <v>12000000</v>
      </c>
      <c r="E8" s="160">
        <v>14000000</v>
      </c>
    </row>
    <row r="9" spans="1:6">
      <c r="B9" s="22" t="s">
        <v>213</v>
      </c>
      <c r="C9" s="161">
        <v>500</v>
      </c>
      <c r="D9" s="161">
        <v>4500</v>
      </c>
      <c r="E9" s="187">
        <f>+SUMPRODUCT(C9:D9,C7:D7)/SUM(C7:D7)</f>
        <v>1051.7241379310344</v>
      </c>
    </row>
    <row r="10" spans="1:6">
      <c r="C10" s="4"/>
      <c r="D10" s="4"/>
    </row>
    <row r="11" spans="1:6">
      <c r="B11" s="66" t="s">
        <v>220</v>
      </c>
    </row>
    <row r="12" spans="1:6">
      <c r="B12" s="295"/>
      <c r="C12" s="367" t="s">
        <v>0</v>
      </c>
      <c r="D12" s="368"/>
      <c r="E12" s="368"/>
      <c r="F12" s="369"/>
    </row>
    <row r="13" spans="1:6">
      <c r="B13" s="164" t="s">
        <v>219</v>
      </c>
      <c r="C13" s="290" t="s">
        <v>216</v>
      </c>
      <c r="D13" s="266" t="s">
        <v>224</v>
      </c>
      <c r="E13" s="266" t="s">
        <v>215</v>
      </c>
      <c r="F13" s="165" t="s">
        <v>217</v>
      </c>
    </row>
    <row r="14" spans="1:6">
      <c r="B14" s="166" t="str" cm="1">
        <f t="array" ref="B14:B16">TRANSPOSE(C6:E6)</f>
        <v>PowerPack</v>
      </c>
      <c r="C14" s="292">
        <v>0</v>
      </c>
      <c r="D14" s="293">
        <f>+C7</f>
        <v>25000</v>
      </c>
      <c r="E14" s="293">
        <v>0</v>
      </c>
      <c r="F14" s="167">
        <f>+D14</f>
        <v>25000</v>
      </c>
    </row>
    <row r="15" spans="1:6">
      <c r="B15" s="166" t="str">
        <v>SuperStack</v>
      </c>
      <c r="C15" s="292">
        <v>0</v>
      </c>
      <c r="D15" s="293">
        <v>0</v>
      </c>
      <c r="E15" s="293">
        <f>+D7</f>
        <v>4000</v>
      </c>
      <c r="F15" s="167">
        <f>+E15</f>
        <v>4000</v>
      </c>
    </row>
    <row r="16" spans="1:6">
      <c r="B16" s="166" t="str">
        <v>Multi-Purpose</v>
      </c>
      <c r="C16" s="292">
        <v>0</v>
      </c>
      <c r="D16" s="293">
        <f>+C7</f>
        <v>25000</v>
      </c>
      <c r="E16" s="293">
        <f>+D7</f>
        <v>4000</v>
      </c>
      <c r="F16" s="167" t="str">
        <f>+$D$14&amp;"/"&amp;$D$7</f>
        <v>25000/4000</v>
      </c>
    </row>
    <row r="17" spans="1:25">
      <c r="B17" s="168" t="s">
        <v>214</v>
      </c>
      <c r="C17" s="294">
        <v>0</v>
      </c>
      <c r="D17" s="169">
        <v>0</v>
      </c>
      <c r="E17" s="169">
        <v>0</v>
      </c>
      <c r="F17" s="170">
        <v>0</v>
      </c>
    </row>
    <row r="18" spans="1:25">
      <c r="O18" s="6" t="s">
        <v>352</v>
      </c>
    </row>
    <row r="19" spans="1:25" ht="15.75">
      <c r="A19" s="126" t="s">
        <v>249</v>
      </c>
      <c r="J19" s="6" t="s">
        <v>230</v>
      </c>
      <c r="O19" s="321"/>
      <c r="P19" s="321"/>
      <c r="Q19" s="321"/>
      <c r="R19" s="321"/>
      <c r="S19" s="321"/>
      <c r="T19" s="321"/>
      <c r="U19" s="321"/>
      <c r="V19" s="354">
        <v>0.4</v>
      </c>
      <c r="W19" s="321"/>
      <c r="X19" s="321"/>
      <c r="Y19" s="321"/>
    </row>
    <row r="20" spans="1:25">
      <c r="J20" s="151">
        <v>0.6</v>
      </c>
      <c r="O20" s="321"/>
      <c r="P20" s="321"/>
      <c r="Q20" s="321"/>
      <c r="R20" s="321"/>
      <c r="S20" s="321"/>
      <c r="T20" s="321"/>
      <c r="U20" s="321"/>
      <c r="V20" s="330" t="s">
        <v>224</v>
      </c>
      <c r="W20" s="321"/>
      <c r="X20" s="321"/>
      <c r="Y20" s="321"/>
    </row>
    <row r="21" spans="1:25">
      <c r="B21" s="66" t="s">
        <v>221</v>
      </c>
      <c r="G21" s="66" t="s">
        <v>236</v>
      </c>
      <c r="O21" s="321"/>
      <c r="P21" s="321"/>
      <c r="Q21" s="321"/>
      <c r="R21" s="321"/>
      <c r="S21" s="321"/>
      <c r="T21" s="321"/>
      <c r="U21" s="321"/>
      <c r="V21" s="321"/>
      <c r="W21" s="321"/>
      <c r="X21" s="321"/>
      <c r="Y21" s="327">
        <f>SUM(R24,V22)</f>
        <v>9500000</v>
      </c>
    </row>
    <row r="22" spans="1:25">
      <c r="B22" s="295"/>
      <c r="C22" s="291" t="s">
        <v>0</v>
      </c>
      <c r="D22" s="162"/>
      <c r="E22" s="162"/>
      <c r="F22" s="163"/>
      <c r="G22" s="283"/>
      <c r="H22" s="284"/>
      <c r="I22" s="284"/>
      <c r="J22" s="276"/>
      <c r="O22" s="321"/>
      <c r="P22" s="321"/>
      <c r="Q22" s="321"/>
      <c r="R22" s="323" t="s">
        <v>208</v>
      </c>
      <c r="S22" s="321"/>
      <c r="T22" s="321"/>
      <c r="U22" s="321"/>
      <c r="V22" s="355">
        <f>+PowerPack_SP*PowerPack_Cap</f>
        <v>12500000</v>
      </c>
      <c r="W22" s="327">
        <f>Y21</f>
        <v>9500000</v>
      </c>
      <c r="X22" s="321"/>
      <c r="Y22" s="321"/>
    </row>
    <row r="23" spans="1:25">
      <c r="B23" s="164" t="str" cm="1">
        <f t="array" ref="B23:B27">B13:B17</f>
        <v>Product Strategy</v>
      </c>
      <c r="C23" s="290" t="str" cm="1">
        <f t="array" ref="C23:F23">C13:F13</f>
        <v>Neither Bill</v>
      </c>
      <c r="D23" s="266" t="str">
        <v>Municipal Program</v>
      </c>
      <c r="E23" s="266" t="str">
        <v>Federal Program</v>
      </c>
      <c r="F23" s="165" t="str">
        <v>Both Bills</v>
      </c>
      <c r="G23" s="285" t="s">
        <v>222</v>
      </c>
      <c r="H23" s="286" t="s">
        <v>223</v>
      </c>
      <c r="I23" s="286" t="s">
        <v>229</v>
      </c>
      <c r="J23" s="287" t="str">
        <f>"Hurwicz Criterion ("&amp;H_alpha&amp;")"</f>
        <v>Hurwicz Criterion (0.6)</v>
      </c>
      <c r="O23" s="321"/>
      <c r="P23" s="321"/>
      <c r="Q23" s="321"/>
      <c r="R23" s="321"/>
      <c r="S23" s="321"/>
      <c r="T23" s="321"/>
      <c r="U23" s="321"/>
      <c r="V23" s="321"/>
      <c r="W23" s="321"/>
      <c r="X23" s="321"/>
      <c r="Y23" s="321"/>
    </row>
    <row r="24" spans="1:25">
      <c r="B24" s="166" t="str">
        <v>PowerPack</v>
      </c>
      <c r="C24" s="182">
        <f>+C14*PowerPack_SP-PowerPack_LC</f>
        <v>-3000000</v>
      </c>
      <c r="D24" s="1">
        <f>+D14*PowerPack_SP-PowerPack_LC</f>
        <v>9500000</v>
      </c>
      <c r="E24" s="1">
        <f>+E14*PowerPack_SP-PowerPack_LC</f>
        <v>-3000000</v>
      </c>
      <c r="F24" s="160">
        <f>+F14*PowerPack_SP-PowerPack_LC</f>
        <v>9500000</v>
      </c>
      <c r="G24" s="174">
        <f>MIN(C24:F24)</f>
        <v>-3000000</v>
      </c>
      <c r="H24" s="281">
        <f>MAX(C24:F24)</f>
        <v>9500000</v>
      </c>
      <c r="I24" s="281">
        <f>AVERAGE(C24:F24)</f>
        <v>3250000</v>
      </c>
      <c r="J24" s="184">
        <f>+H24*H_alpha+(1-H_alpha)*G24</f>
        <v>4500000</v>
      </c>
      <c r="O24" s="321"/>
      <c r="P24" s="321"/>
      <c r="Q24" s="321"/>
      <c r="R24" s="355">
        <f>-PowerPack_LC</f>
        <v>-3000000</v>
      </c>
      <c r="S24" s="356">
        <f>IF(ABS(1-(V19+V24))&lt;=0.00001,V19*W22+V24*W27,NA())</f>
        <v>2000000</v>
      </c>
      <c r="T24" s="321"/>
      <c r="U24" s="321"/>
      <c r="V24" s="354">
        <f>1-V19</f>
        <v>0.6</v>
      </c>
      <c r="W24" s="321"/>
      <c r="X24" s="321"/>
      <c r="Y24" s="321"/>
    </row>
    <row r="25" spans="1:25">
      <c r="B25" s="166" t="str">
        <v>SuperStack</v>
      </c>
      <c r="C25" s="182">
        <f>+C15*SuperStack_SP-SuperStack__LC</f>
        <v>-12000000</v>
      </c>
      <c r="D25" s="1">
        <f>+D15*SuperStack_SP-SuperStack__LC</f>
        <v>-12000000</v>
      </c>
      <c r="E25" s="1">
        <f>+E15*SuperStack_SP-SuperStack__LC</f>
        <v>6000000</v>
      </c>
      <c r="F25" s="160">
        <f>+F15*SuperStack_SP-SuperStack__LC</f>
        <v>6000000</v>
      </c>
      <c r="G25" s="174">
        <f>MIN(C25:F25)</f>
        <v>-12000000</v>
      </c>
      <c r="H25" s="281">
        <f>MAX(C25:F25)</f>
        <v>6000000</v>
      </c>
      <c r="I25" s="281">
        <f>AVERAGE(C25:F25)</f>
        <v>-3000000</v>
      </c>
      <c r="J25" s="184">
        <f>+H25*H_alpha+(1-H_alpha)*G25</f>
        <v>-1200000</v>
      </c>
      <c r="K25" s="6"/>
      <c r="O25" s="321"/>
      <c r="P25" s="321"/>
      <c r="Q25" s="321"/>
      <c r="R25" s="321"/>
      <c r="S25" s="321"/>
      <c r="T25" s="321"/>
      <c r="U25" s="321"/>
      <c r="V25" s="330" t="s">
        <v>346</v>
      </c>
      <c r="W25" s="321"/>
      <c r="X25" s="321"/>
      <c r="Y25" s="321"/>
    </row>
    <row r="26" spans="1:25">
      <c r="B26" s="166" t="str">
        <v>Multi-Purpose</v>
      </c>
      <c r="C26" s="182">
        <f>SUMPRODUCT(C7:D7,C9:D9)*C16-MultiP_LC</f>
        <v>-14000000</v>
      </c>
      <c r="D26" s="1">
        <f>+D16*PowerPack_SP-MultiP_LC</f>
        <v>-1500000</v>
      </c>
      <c r="E26" s="1">
        <f>+E16*SuperStack_SP-MultiP_LC</f>
        <v>4000000</v>
      </c>
      <c r="F26" s="160">
        <f>SUMPRODUCT(C7:D7,C9:D9)-MultiP_LC</f>
        <v>16500000</v>
      </c>
      <c r="G26" s="174">
        <f>MIN(C26:F26)</f>
        <v>-14000000</v>
      </c>
      <c r="H26" s="281">
        <f>MAX(C26:F26)</f>
        <v>16500000</v>
      </c>
      <c r="I26" s="281">
        <f>AVERAGE(C26:F26)</f>
        <v>1250000</v>
      </c>
      <c r="J26" s="184">
        <f>+H26*H_alpha+(1-H_alpha)*G26</f>
        <v>4300000</v>
      </c>
      <c r="O26" s="321"/>
      <c r="P26" s="321"/>
      <c r="Q26" s="321"/>
      <c r="R26" s="321"/>
      <c r="S26" s="321"/>
      <c r="T26" s="321"/>
      <c r="U26" s="321"/>
      <c r="V26" s="321"/>
      <c r="W26" s="321"/>
      <c r="X26" s="321"/>
      <c r="Y26" s="327">
        <f>SUM(R24,V27)</f>
        <v>-3000000</v>
      </c>
    </row>
    <row r="27" spans="1:25">
      <c r="B27" s="168" t="str">
        <v>No Lease</v>
      </c>
      <c r="C27" s="183">
        <v>0</v>
      </c>
      <c r="D27" s="171">
        <v>0</v>
      </c>
      <c r="E27" s="171">
        <v>0</v>
      </c>
      <c r="F27" s="172">
        <v>0</v>
      </c>
      <c r="G27" s="194">
        <f>MIN(C27:F27)</f>
        <v>0</v>
      </c>
      <c r="H27" s="195">
        <f>MAX(C27:F27)</f>
        <v>0</v>
      </c>
      <c r="I27" s="195">
        <f>AVERAGE(C27:F27)</f>
        <v>0</v>
      </c>
      <c r="J27" s="282">
        <f>+H27*H_alpha+(1-H_alpha)*G27</f>
        <v>0</v>
      </c>
      <c r="O27" s="321"/>
      <c r="P27" s="321"/>
      <c r="Q27" s="321"/>
      <c r="R27" s="321"/>
      <c r="S27" s="321"/>
      <c r="T27" s="321"/>
      <c r="U27" s="321"/>
      <c r="V27" s="355">
        <v>0</v>
      </c>
      <c r="W27" s="327">
        <f>Y26</f>
        <v>-3000000</v>
      </c>
      <c r="X27" s="321"/>
      <c r="Y27" s="321"/>
    </row>
    <row r="28" spans="1:25">
      <c r="O28" s="321"/>
      <c r="P28" s="321"/>
      <c r="Q28" s="321"/>
      <c r="R28" s="321"/>
      <c r="S28" s="321"/>
      <c r="T28" s="321"/>
      <c r="U28" s="321"/>
      <c r="V28" s="321"/>
      <c r="W28" s="321"/>
      <c r="X28" s="321"/>
      <c r="Y28" s="321"/>
    </row>
    <row r="29" spans="1:25">
      <c r="O29" s="321"/>
      <c r="P29" s="321"/>
      <c r="Q29" s="321"/>
      <c r="R29" s="321"/>
      <c r="S29" s="321"/>
      <c r="T29" s="321"/>
      <c r="U29" s="321"/>
      <c r="V29" s="354">
        <v>0.8</v>
      </c>
      <c r="W29" s="321"/>
      <c r="X29" s="321"/>
      <c r="Y29" s="321"/>
    </row>
    <row r="30" spans="1:25">
      <c r="O30" s="321"/>
      <c r="P30" s="321"/>
      <c r="Q30" s="321"/>
      <c r="R30" s="321"/>
      <c r="S30" s="321"/>
      <c r="T30" s="321"/>
      <c r="U30" s="321"/>
      <c r="V30" s="330" t="s">
        <v>215</v>
      </c>
      <c r="W30" s="321"/>
      <c r="X30" s="321"/>
      <c r="Y30" s="321"/>
    </row>
    <row r="31" spans="1:25">
      <c r="B31" s="66" t="s">
        <v>225</v>
      </c>
      <c r="C31" s="48"/>
      <c r="D31" s="1"/>
      <c r="E31" s="1"/>
      <c r="F31" s="48"/>
      <c r="G31" s="6" t="s">
        <v>250</v>
      </c>
      <c r="O31" s="321"/>
      <c r="P31" s="321"/>
      <c r="Q31" s="321"/>
      <c r="R31" s="321"/>
      <c r="S31" s="321"/>
      <c r="T31" s="321"/>
      <c r="U31" s="321"/>
      <c r="V31" s="321"/>
      <c r="W31" s="321"/>
      <c r="X31" s="321"/>
      <c r="Y31" s="327">
        <f>SUM(R34,V32)</f>
        <v>6000000</v>
      </c>
    </row>
    <row r="32" spans="1:25">
      <c r="B32" s="295"/>
      <c r="C32" s="291" t="s">
        <v>0</v>
      </c>
      <c r="D32" s="162"/>
      <c r="E32" s="162"/>
      <c r="F32" s="163"/>
      <c r="G32" s="275"/>
      <c r="O32" s="321"/>
      <c r="P32" s="321"/>
      <c r="Q32" s="321"/>
      <c r="R32" s="323" t="s">
        <v>218</v>
      </c>
      <c r="S32" s="321"/>
      <c r="T32" s="321"/>
      <c r="U32" s="321"/>
      <c r="V32" s="355">
        <f>SuperStack_Cap*SuperStack_SP</f>
        <v>18000000</v>
      </c>
      <c r="W32" s="327">
        <f>Y31</f>
        <v>6000000</v>
      </c>
      <c r="X32" s="321"/>
      <c r="Y32" s="321"/>
    </row>
    <row r="33" spans="1:25">
      <c r="B33" s="164" t="str" cm="1">
        <f t="array" ref="B33:B37">_xlfn.ANCHORARRAY(B23)</f>
        <v>Product Strategy</v>
      </c>
      <c r="C33" s="290" t="str" cm="1">
        <f t="array" ref="C33:F33">C$13:F$13</f>
        <v>Neither Bill</v>
      </c>
      <c r="D33" s="266" t="str">
        <v>Municipal Program</v>
      </c>
      <c r="E33" s="266" t="str">
        <v>Federal Program</v>
      </c>
      <c r="F33" s="165" t="str">
        <v>Both Bills</v>
      </c>
      <c r="G33" s="279" t="s">
        <v>340</v>
      </c>
      <c r="O33" s="321"/>
      <c r="P33" s="321"/>
      <c r="Q33" s="321"/>
      <c r="R33" s="321"/>
      <c r="S33" s="321"/>
      <c r="T33" s="321"/>
      <c r="U33" s="321"/>
      <c r="V33" s="321"/>
      <c r="W33" s="321"/>
      <c r="X33" s="321"/>
      <c r="Y33" s="321"/>
    </row>
    <row r="34" spans="1:25">
      <c r="B34" s="166" t="str">
        <v>PowerPack</v>
      </c>
      <c r="C34" s="182">
        <f t="shared" ref="C34:F37" si="0">+C24-MIN(C$24:C$27)</f>
        <v>11000000</v>
      </c>
      <c r="D34" s="1">
        <f t="shared" si="0"/>
        <v>21500000</v>
      </c>
      <c r="E34" s="1">
        <f t="shared" si="0"/>
        <v>0</v>
      </c>
      <c r="F34" s="160">
        <f t="shared" si="0"/>
        <v>9500000</v>
      </c>
      <c r="G34" s="117">
        <f>MAX(C34:F34)</f>
        <v>21500000</v>
      </c>
      <c r="I34" s="48"/>
      <c r="O34" s="321"/>
      <c r="P34" s="321"/>
      <c r="Q34" s="321"/>
      <c r="R34" s="355">
        <f>-SuperStack__LC</f>
        <v>-12000000</v>
      </c>
      <c r="S34" s="356">
        <f>IF(ABS(1-(V29+V34))&lt;=0.00001,V29*W32+V34*W37,NA())</f>
        <v>2400000.0000000005</v>
      </c>
      <c r="T34" s="321"/>
      <c r="U34" s="321"/>
      <c r="V34" s="354">
        <f>1-V29</f>
        <v>0.19999999999999996</v>
      </c>
      <c r="W34" s="321"/>
      <c r="X34" s="321"/>
      <c r="Y34" s="321"/>
    </row>
    <row r="35" spans="1:25">
      <c r="B35" s="166" t="str">
        <v>SuperStack</v>
      </c>
      <c r="C35" s="182">
        <f t="shared" si="0"/>
        <v>2000000</v>
      </c>
      <c r="D35" s="1">
        <f t="shared" si="0"/>
        <v>0</v>
      </c>
      <c r="E35" s="1">
        <f t="shared" si="0"/>
        <v>9000000</v>
      </c>
      <c r="F35" s="160">
        <f t="shared" si="0"/>
        <v>6000000</v>
      </c>
      <c r="G35" s="288">
        <f>MAX(C35:F35)</f>
        <v>9000000</v>
      </c>
      <c r="I35" s="48"/>
      <c r="O35" s="321"/>
      <c r="P35" s="321">
        <f>IF(O36=S24,1,IF(O36=S34,2,IF(O36=S49,3)))</f>
        <v>3</v>
      </c>
      <c r="Q35" s="321"/>
      <c r="R35" s="321"/>
      <c r="S35" s="321"/>
      <c r="T35" s="321"/>
      <c r="U35" s="321"/>
      <c r="V35" s="330" t="s">
        <v>347</v>
      </c>
      <c r="W35" s="321"/>
      <c r="X35" s="321"/>
      <c r="Y35" s="321"/>
    </row>
    <row r="36" spans="1:25">
      <c r="B36" s="166" t="str">
        <v>Multi-Purpose</v>
      </c>
      <c r="C36" s="182">
        <f t="shared" si="0"/>
        <v>0</v>
      </c>
      <c r="D36" s="1">
        <f t="shared" si="0"/>
        <v>10500000</v>
      </c>
      <c r="E36" s="1">
        <f t="shared" si="0"/>
        <v>7000000</v>
      </c>
      <c r="F36" s="160">
        <f t="shared" si="0"/>
        <v>16500000</v>
      </c>
      <c r="G36" s="117">
        <f>MAX(C36:F36)</f>
        <v>16500000</v>
      </c>
      <c r="I36" s="48"/>
      <c r="O36" s="356">
        <f>MAX(S24,S34,S49)</f>
        <v>5400000</v>
      </c>
      <c r="P36" s="321"/>
      <c r="Q36" s="321"/>
      <c r="R36" s="321"/>
      <c r="S36" s="321"/>
      <c r="T36" s="321"/>
      <c r="U36" s="321"/>
      <c r="V36" s="321"/>
      <c r="W36" s="321"/>
      <c r="X36" s="321"/>
      <c r="Y36" s="327">
        <f>SUM(R34,V37)</f>
        <v>-12000000</v>
      </c>
    </row>
    <row r="37" spans="1:25">
      <c r="B37" s="168" t="str">
        <v>No Lease</v>
      </c>
      <c r="C37" s="183">
        <f t="shared" si="0"/>
        <v>14000000</v>
      </c>
      <c r="D37" s="171">
        <f t="shared" si="0"/>
        <v>12000000</v>
      </c>
      <c r="E37" s="171">
        <f t="shared" si="0"/>
        <v>3000000</v>
      </c>
      <c r="F37" s="172">
        <f t="shared" si="0"/>
        <v>0</v>
      </c>
      <c r="G37" s="123">
        <f>MAX(C37:F37)</f>
        <v>14000000</v>
      </c>
      <c r="I37" s="48"/>
      <c r="O37" s="321"/>
      <c r="P37" s="321"/>
      <c r="Q37" s="321"/>
      <c r="R37" s="321"/>
      <c r="S37" s="321"/>
      <c r="T37" s="321"/>
      <c r="U37" s="321"/>
      <c r="V37" s="357">
        <v>0</v>
      </c>
      <c r="W37" s="327">
        <f>Y36</f>
        <v>-12000000</v>
      </c>
      <c r="X37" s="321"/>
      <c r="Y37" s="321"/>
    </row>
    <row r="38" spans="1:25">
      <c r="O38" s="321"/>
      <c r="P38" s="321"/>
      <c r="Q38" s="321"/>
      <c r="R38" s="321"/>
      <c r="S38" s="321"/>
      <c r="T38" s="321"/>
      <c r="U38" s="321"/>
      <c r="V38" s="321"/>
      <c r="W38" s="321"/>
      <c r="X38" s="321"/>
      <c r="Y38" s="321"/>
    </row>
    <row r="39" spans="1:25" ht="15.75">
      <c r="A39" s="126" t="s">
        <v>294</v>
      </c>
      <c r="O39" s="321"/>
      <c r="P39" s="321"/>
      <c r="Q39" s="321"/>
      <c r="R39" s="321"/>
      <c r="S39" s="321"/>
      <c r="T39" s="321"/>
      <c r="U39" s="321"/>
      <c r="V39" s="354">
        <v>0.12</v>
      </c>
      <c r="W39" s="321"/>
      <c r="X39" s="321"/>
      <c r="Y39" s="321"/>
    </row>
    <row r="40" spans="1:25">
      <c r="O40" s="321"/>
      <c r="P40" s="321"/>
      <c r="Q40" s="321"/>
      <c r="S40" s="321"/>
      <c r="T40" s="321"/>
      <c r="U40" s="321"/>
      <c r="V40" s="330" t="s">
        <v>348</v>
      </c>
      <c r="W40" s="321"/>
      <c r="X40" s="321"/>
      <c r="Y40" s="321"/>
    </row>
    <row r="41" spans="1:25">
      <c r="B41" s="66" t="s">
        <v>299</v>
      </c>
      <c r="J41" s="272" t="s">
        <v>339</v>
      </c>
      <c r="K41" s="60">
        <f>+D43*D44</f>
        <v>0.11999999999999997</v>
      </c>
      <c r="O41" s="321"/>
      <c r="P41" s="321"/>
      <c r="Q41" s="321"/>
      <c r="R41" s="321"/>
      <c r="S41" s="321"/>
      <c r="T41" s="321"/>
      <c r="U41" s="321"/>
      <c r="V41" s="321"/>
      <c r="W41" s="321"/>
      <c r="X41" s="321"/>
      <c r="Y41" s="327">
        <f>SUM(R49,V42)</f>
        <v>-14000000</v>
      </c>
    </row>
    <row r="42" spans="1:25">
      <c r="B42" s="31"/>
      <c r="C42" s="150" t="s">
        <v>227</v>
      </c>
      <c r="D42" s="29" t="s">
        <v>228</v>
      </c>
      <c r="J42" s="272" t="s">
        <v>338</v>
      </c>
      <c r="K42" s="60">
        <f>+C43*D44</f>
        <v>7.9999999999999988E-2</v>
      </c>
      <c r="O42" s="321"/>
      <c r="P42" s="321"/>
      <c r="Q42" s="321"/>
      <c r="R42" s="321"/>
      <c r="S42" s="321"/>
      <c r="T42" s="321"/>
      <c r="U42" s="321"/>
      <c r="V42" s="355">
        <v>0</v>
      </c>
      <c r="W42" s="327">
        <f>Y41</f>
        <v>-14000000</v>
      </c>
      <c r="X42" s="321"/>
      <c r="Y42" s="321"/>
    </row>
    <row r="43" spans="1:25">
      <c r="B43" s="19" t="s">
        <v>224</v>
      </c>
      <c r="C43" s="2">
        <v>0.4</v>
      </c>
      <c r="D43" s="152">
        <f>1-C43</f>
        <v>0.6</v>
      </c>
      <c r="J43" s="272" t="s">
        <v>336</v>
      </c>
      <c r="K43" s="60">
        <f>+C43*C44</f>
        <v>0.32000000000000006</v>
      </c>
      <c r="O43" s="321"/>
      <c r="P43" s="321"/>
      <c r="Q43" s="321"/>
      <c r="R43" s="321"/>
      <c r="S43" s="321"/>
      <c r="T43" s="321"/>
      <c r="U43" s="321"/>
      <c r="V43" s="321"/>
      <c r="W43" s="321"/>
      <c r="X43" s="321"/>
      <c r="Y43" s="321"/>
    </row>
    <row r="44" spans="1:25">
      <c r="B44" s="153" t="s">
        <v>215</v>
      </c>
      <c r="C44" s="154">
        <v>0.8</v>
      </c>
      <c r="D44" s="155">
        <f>1-C44</f>
        <v>0.19999999999999996</v>
      </c>
      <c r="J44" s="272" t="s">
        <v>337</v>
      </c>
      <c r="K44" s="60">
        <f>+D43*C44</f>
        <v>0.48</v>
      </c>
      <c r="O44" s="321"/>
      <c r="P44" s="321"/>
      <c r="Q44" s="321"/>
      <c r="R44" s="321"/>
      <c r="S44" s="321"/>
      <c r="T44" s="321"/>
      <c r="U44" s="321"/>
      <c r="V44" s="354">
        <v>0.08</v>
      </c>
      <c r="W44" s="321"/>
      <c r="X44" s="321"/>
      <c r="Y44" s="321"/>
    </row>
    <row r="45" spans="1:25">
      <c r="O45" s="321"/>
      <c r="P45" s="321"/>
      <c r="Q45" s="321"/>
      <c r="R45" s="321"/>
      <c r="S45" s="321"/>
      <c r="T45" s="321"/>
      <c r="U45" s="321"/>
      <c r="V45" s="330" t="s">
        <v>349</v>
      </c>
      <c r="W45" s="321"/>
      <c r="X45" s="321"/>
      <c r="Y45" s="321"/>
    </row>
    <row r="46" spans="1:25">
      <c r="B46" s="66" t="s">
        <v>226</v>
      </c>
      <c r="M46" s="65"/>
      <c r="O46" s="321"/>
      <c r="P46" s="321"/>
      <c r="Q46" s="321"/>
      <c r="R46" s="321"/>
      <c r="S46" s="321"/>
      <c r="T46" s="321"/>
      <c r="U46" s="321"/>
      <c r="V46" s="321"/>
      <c r="W46" s="321"/>
      <c r="X46" s="321"/>
      <c r="Y46" s="327">
        <f>SUM(R49,V47)</f>
        <v>-1500000</v>
      </c>
    </row>
    <row r="47" spans="1:25">
      <c r="B47" s="295"/>
      <c r="C47" s="361" t="s">
        <v>235</v>
      </c>
      <c r="D47" s="362"/>
      <c r="E47" s="362"/>
      <c r="F47" s="363"/>
      <c r="G47" s="277"/>
      <c r="H47" s="277"/>
      <c r="M47" s="65"/>
      <c r="O47" s="321"/>
      <c r="P47" s="321"/>
      <c r="Q47" s="321"/>
      <c r="R47" s="323" t="s">
        <v>345</v>
      </c>
      <c r="S47" s="321"/>
      <c r="T47" s="321"/>
      <c r="U47" s="321"/>
      <c r="V47" s="355">
        <f>+V22</f>
        <v>12500000</v>
      </c>
      <c r="W47" s="327">
        <f>Y46</f>
        <v>-1500000</v>
      </c>
      <c r="X47" s="321"/>
      <c r="Y47" s="321"/>
    </row>
    <row r="48" spans="1:25">
      <c r="B48" s="166"/>
      <c r="C48" s="289">
        <f>+$D$43*$D$44</f>
        <v>0.11999999999999997</v>
      </c>
      <c r="D48" s="104">
        <f>+$C$43*$D$44</f>
        <v>7.9999999999999988E-2</v>
      </c>
      <c r="E48" s="104">
        <f>+$C$44*$D$43</f>
        <v>0.48</v>
      </c>
      <c r="F48" s="175">
        <f>+$C$43*$C$44</f>
        <v>0.32000000000000006</v>
      </c>
      <c r="G48" s="278"/>
      <c r="H48" s="278"/>
      <c r="O48" s="321"/>
      <c r="P48" s="321"/>
      <c r="Q48" s="321"/>
      <c r="R48" s="321"/>
      <c r="S48" s="321"/>
      <c r="T48" s="321"/>
      <c r="U48" s="321"/>
      <c r="V48" s="321"/>
      <c r="W48" s="321"/>
      <c r="X48" s="321"/>
      <c r="Y48" s="321"/>
    </row>
    <row r="49" spans="2:25">
      <c r="B49" s="166"/>
      <c r="C49" s="358" t="s">
        <v>0</v>
      </c>
      <c r="D49" s="359"/>
      <c r="E49" s="359"/>
      <c r="F49" s="360"/>
      <c r="G49" s="273"/>
      <c r="H49" s="273"/>
      <c r="O49" s="321"/>
      <c r="P49" s="321"/>
      <c r="Q49" s="321"/>
      <c r="R49" s="355">
        <f>-MultiP_LC</f>
        <v>-14000000</v>
      </c>
      <c r="S49" s="356">
        <f>IF(ABS(1-(V39+V44+V49+V54))&lt;=0.00001,V39*W42+V44*W47+V49*W52+V54*W57,NA())</f>
        <v>5400000</v>
      </c>
      <c r="T49" s="321"/>
      <c r="U49" s="321"/>
      <c r="V49" s="354">
        <v>0.48</v>
      </c>
      <c r="W49" s="321"/>
      <c r="X49" s="321"/>
      <c r="Y49" s="321"/>
    </row>
    <row r="50" spans="2:25" ht="30">
      <c r="B50" s="164" t="str" cm="1">
        <f t="array" ref="B50:B54">B$13:B$17</f>
        <v>Product Strategy</v>
      </c>
      <c r="C50" s="290" t="str" cm="1">
        <f t="array" ref="C50:F50">C$13:F$13</f>
        <v>Neither Bill</v>
      </c>
      <c r="D50" s="266" t="str">
        <v>Municipal Program</v>
      </c>
      <c r="E50" s="266" t="str">
        <v>Federal Program</v>
      </c>
      <c r="F50" s="165" t="str">
        <v>Both Bills</v>
      </c>
      <c r="G50" s="274" t="s">
        <v>233</v>
      </c>
      <c r="H50" s="279" t="s">
        <v>234</v>
      </c>
      <c r="O50" s="321"/>
      <c r="P50" s="321"/>
      <c r="Q50" s="321"/>
      <c r="R50" s="321"/>
      <c r="S50" s="321"/>
      <c r="T50" s="321"/>
      <c r="U50" s="321"/>
      <c r="V50" s="330" t="s">
        <v>350</v>
      </c>
      <c r="W50" s="321"/>
      <c r="X50" s="321"/>
      <c r="Y50" s="321"/>
    </row>
    <row r="51" spans="2:25">
      <c r="B51" s="166" t="str">
        <v>PowerPack</v>
      </c>
      <c r="C51" s="182" cm="1">
        <f t="array" ref="C51:F54">C48:F48*C24:F27</f>
        <v>-359999.99999999988</v>
      </c>
      <c r="D51" s="1">
        <v>759999.99999999988</v>
      </c>
      <c r="E51" s="1">
        <v>-1440000</v>
      </c>
      <c r="F51" s="160">
        <v>3040000.0000000005</v>
      </c>
      <c r="G51" s="117">
        <f>SUM(C51:F51)</f>
        <v>2000000.0000000005</v>
      </c>
      <c r="H51" s="280">
        <f>IF(Preference_Probabiltiy=0.5,(G51-vmin)/(vmax-vmin),alpha*(1-r__odds^(-2*($G51-vmin)/(vmax-vmin))))</f>
        <v>0.62433165278367941</v>
      </c>
      <c r="J51" s="3"/>
      <c r="O51" s="321"/>
      <c r="P51" s="321"/>
      <c r="Q51" s="321"/>
      <c r="R51" s="321"/>
      <c r="S51" s="321"/>
      <c r="T51" s="321"/>
      <c r="U51" s="321"/>
      <c r="V51" s="321"/>
      <c r="W51" s="321"/>
      <c r="X51" s="321"/>
      <c r="Y51" s="327">
        <f>SUM(R49,V52)</f>
        <v>4000000</v>
      </c>
    </row>
    <row r="52" spans="2:25">
      <c r="B52" s="166" t="str">
        <v>SuperStack</v>
      </c>
      <c r="C52" s="182">
        <v>-1439999.9999999995</v>
      </c>
      <c r="D52" s="1">
        <v>-959999.99999999988</v>
      </c>
      <c r="E52" s="1">
        <v>2880000</v>
      </c>
      <c r="F52" s="160">
        <v>1920000.0000000005</v>
      </c>
      <c r="G52" s="117">
        <f>SUM(C52:F52)</f>
        <v>2400000.0000000009</v>
      </c>
      <c r="H52" s="280">
        <f>IF(Preference_Probabiltiy=0.5,(G52-vmin)/(vmax-vmin),alpha*(1-r__odds^(-2*($G52-vmin)/(vmax-vmin))))</f>
        <v>0.63679624885814834</v>
      </c>
      <c r="J52" s="3"/>
      <c r="O52" s="321"/>
      <c r="P52" s="321"/>
      <c r="Q52" s="321"/>
      <c r="R52" s="321"/>
      <c r="S52" s="321"/>
      <c r="T52" s="321"/>
      <c r="U52" s="321"/>
      <c r="V52" s="355">
        <f>+V32</f>
        <v>18000000</v>
      </c>
      <c r="W52" s="327">
        <f>Y51</f>
        <v>4000000</v>
      </c>
      <c r="X52" s="321"/>
      <c r="Y52" s="321"/>
    </row>
    <row r="53" spans="2:25">
      <c r="B53" s="166" t="str">
        <v>Multi-Purpose</v>
      </c>
      <c r="C53" s="182">
        <v>-1679999.9999999995</v>
      </c>
      <c r="D53" s="1">
        <v>-119999.99999999999</v>
      </c>
      <c r="E53" s="1">
        <v>1920000</v>
      </c>
      <c r="F53" s="160">
        <v>5280000.0000000009</v>
      </c>
      <c r="G53" s="117">
        <f>SUM(C53:F53)</f>
        <v>5400000.0000000019</v>
      </c>
      <c r="H53" s="280">
        <f>IF(Preference_Probabiltiy=0.5,(G53-vmin)/(vmax-vmin),alpha*(1-r__odds^(-2*($G53-vmin)/(vmax-vmin))))</f>
        <v>0.726163760563449</v>
      </c>
      <c r="J53" s="3"/>
      <c r="O53" s="321"/>
      <c r="P53" s="321"/>
      <c r="Q53" s="321"/>
      <c r="R53" s="321"/>
      <c r="S53" s="321"/>
      <c r="T53" s="321"/>
      <c r="U53" s="321"/>
      <c r="V53" s="321"/>
      <c r="W53" s="321"/>
      <c r="X53" s="321"/>
      <c r="Y53" s="321"/>
    </row>
    <row r="54" spans="2:25">
      <c r="B54" s="168" t="str">
        <v>No Lease</v>
      </c>
      <c r="C54" s="183">
        <v>0</v>
      </c>
      <c r="D54" s="171">
        <v>0</v>
      </c>
      <c r="E54" s="171">
        <v>0</v>
      </c>
      <c r="F54" s="172">
        <v>0</v>
      </c>
      <c r="G54" s="123">
        <f>SUM(C54:F54)</f>
        <v>0</v>
      </c>
      <c r="H54" s="296">
        <f>IF(Preference_Probabiltiy=0.5,(G54-vmin)/(vmax-vmin),alpha*(1-r__odds^(-2*($G54-vmin)/(vmax-vmin))))</f>
        <v>0.55997630416485222</v>
      </c>
      <c r="J54" s="3"/>
      <c r="O54" s="321"/>
      <c r="P54" s="321"/>
      <c r="Q54" s="321"/>
      <c r="R54" s="321"/>
      <c r="S54" s="321"/>
      <c r="T54" s="321"/>
      <c r="U54" s="321"/>
      <c r="V54" s="354">
        <v>0.32</v>
      </c>
      <c r="W54" s="321"/>
      <c r="X54" s="321"/>
      <c r="Y54" s="321"/>
    </row>
    <row r="55" spans="2:25">
      <c r="O55" s="321"/>
      <c r="P55" s="321"/>
      <c r="Q55" s="321"/>
      <c r="R55" s="321"/>
      <c r="S55" s="321"/>
      <c r="T55" s="321"/>
      <c r="U55" s="321"/>
      <c r="V55" s="330" t="s">
        <v>351</v>
      </c>
      <c r="W55" s="321"/>
      <c r="X55" s="321"/>
      <c r="Y55" s="321"/>
    </row>
    <row r="56" spans="2:25">
      <c r="B56" s="66" t="s">
        <v>237</v>
      </c>
      <c r="O56" s="321"/>
      <c r="P56" s="321"/>
      <c r="Q56" s="321"/>
      <c r="R56" s="321"/>
      <c r="S56" s="321"/>
      <c r="T56" s="321"/>
      <c r="U56" s="321"/>
      <c r="V56" s="321"/>
      <c r="W56" s="321"/>
      <c r="X56" s="321"/>
      <c r="Y56" s="327">
        <f>SUM(R49,V57)</f>
        <v>16500000</v>
      </c>
    </row>
    <row r="57" spans="2:25">
      <c r="B57" s="156"/>
      <c r="C57" s="28"/>
      <c r="D57" s="28"/>
      <c r="E57" s="28"/>
      <c r="F57" s="173"/>
      <c r="O57" s="321"/>
      <c r="P57" s="321"/>
      <c r="Q57" s="321"/>
      <c r="R57" s="321"/>
      <c r="S57" s="321"/>
      <c r="T57" s="321"/>
      <c r="U57" s="321"/>
      <c r="V57" s="355">
        <f>+V47+V52</f>
        <v>30500000</v>
      </c>
      <c r="W57" s="327">
        <f>Y56</f>
        <v>16500000</v>
      </c>
      <c r="X57" s="321"/>
      <c r="Y57" s="321"/>
    </row>
    <row r="58" spans="2:25">
      <c r="B58" s="190" t="s">
        <v>242</v>
      </c>
      <c r="C58" s="151">
        <v>0.6</v>
      </c>
      <c r="D58"/>
      <c r="E58" s="58" t="s">
        <v>244</v>
      </c>
      <c r="F58" s="20">
        <f>_xlfn.PERCENTILE.INC($C$24:$F$27,0.0005)</f>
        <v>-13985000</v>
      </c>
      <c r="L58" s="3"/>
    </row>
    <row r="59" spans="2:25">
      <c r="B59" s="190" t="s">
        <v>239</v>
      </c>
      <c r="C59">
        <f>+Preference_Probabiltiy/(1-Preference_Probabiltiy)</f>
        <v>1.4999999999999998</v>
      </c>
      <c r="D59"/>
      <c r="E59" s="58" t="s">
        <v>243</v>
      </c>
      <c r="F59" s="20">
        <f>_xlfn.PERCENTILE.INC($C$24:$F$27,0.9995)</f>
        <v>16447500.000000011</v>
      </c>
      <c r="L59" s="4"/>
    </row>
    <row r="60" spans="2:25">
      <c r="B60" s="190" t="s">
        <v>240</v>
      </c>
      <c r="C60">
        <f>IF(Preference_Probabiltiy&lt;&gt;0.5,(Preference_Probabiltiy^2)/(2*Preference_Probabiltiy-1),1)</f>
        <v>1.8000000000000003</v>
      </c>
      <c r="D60"/>
      <c r="E60" s="58" t="s">
        <v>245</v>
      </c>
      <c r="F60" s="20">
        <v>20</v>
      </c>
    </row>
    <row r="61" spans="2:25">
      <c r="B61" s="190" t="s">
        <v>252</v>
      </c>
      <c r="C61" cm="1">
        <f t="array" ref="C61">SUMPRODUCT(C48:F48, TRANSPOSE(H51:H54))</f>
        <v>0.65361452064590164</v>
      </c>
      <c r="D61"/>
      <c r="E61" s="58" t="s">
        <v>246</v>
      </c>
      <c r="F61" s="197">
        <f>+(vmax-vmin)/F60</f>
        <v>1521625.0000000005</v>
      </c>
    </row>
    <row r="62" spans="2:25">
      <c r="B62" s="21"/>
      <c r="C62" s="196"/>
      <c r="D62"/>
      <c r="E62" s="58"/>
      <c r="F62" s="20"/>
    </row>
    <row r="63" spans="2:25">
      <c r="B63" s="21"/>
      <c r="D63"/>
      <c r="E63" s="58"/>
      <c r="F63" s="20"/>
    </row>
    <row r="64" spans="2:25">
      <c r="B64" s="193" t="s">
        <v>247</v>
      </c>
      <c r="C64" s="188" cm="1">
        <f t="array" ref="C64:E64">LINEST(C67:C87,D67:E87)</f>
        <v>-4.3152143902062958E-16</v>
      </c>
      <c r="D64" s="188">
        <v>3.3619065464039339E-8</v>
      </c>
      <c r="E64" s="188">
        <v>0.5593992250712142</v>
      </c>
      <c r="F64" s="20"/>
    </row>
    <row r="65" spans="2:11">
      <c r="B65" s="22"/>
      <c r="C65" s="23"/>
      <c r="D65" s="70"/>
      <c r="E65" s="70"/>
      <c r="F65" s="24"/>
    </row>
    <row r="67" spans="2:11" ht="12" customHeight="1">
      <c r="C67" s="191">
        <f>+alpha*(1-r__odds^(-2*(D67-vmin)/(vmax-vmin)))</f>
        <v>0.99999999999999978</v>
      </c>
      <c r="D67" s="191">
        <f>+vmax</f>
        <v>16447500.000000011</v>
      </c>
      <c r="E67" s="192">
        <f>+D67^2</f>
        <v>270520256250000.38</v>
      </c>
    </row>
    <row r="68" spans="2:11" ht="12" customHeight="1">
      <c r="C68" s="191">
        <f t="shared" ref="C68:C87" si="1">IF(Preference_Probabiltiy=0.5,(D68-vmin)/(vmax-vmin),alpha*(1-r__odds^(-2*(D68-vmin)/(vmax-vmin))))</f>
        <v>0.96689620480607141</v>
      </c>
      <c r="D68" s="191">
        <f t="shared" ref="D68:D87" si="2">+D67-$F$61</f>
        <v>14925875.000000011</v>
      </c>
      <c r="E68" s="192">
        <f t="shared" ref="E68:E87" si="3">+D68^2</f>
        <v>222781744515625.34</v>
      </c>
    </row>
    <row r="69" spans="2:11" ht="12" customHeight="1">
      <c r="C69" s="191">
        <f t="shared" si="1"/>
        <v>0.93242258304184111</v>
      </c>
      <c r="D69" s="191">
        <f t="shared" si="2"/>
        <v>13404250.000000011</v>
      </c>
      <c r="E69" s="192">
        <f t="shared" si="3"/>
        <v>179673918062500.31</v>
      </c>
    </row>
    <row r="70" spans="2:11" ht="12" customHeight="1">
      <c r="C70" s="191">
        <f t="shared" si="1"/>
        <v>0.89652245163451549</v>
      </c>
      <c r="D70" s="191">
        <f t="shared" si="2"/>
        <v>11882625.000000011</v>
      </c>
      <c r="E70" s="192">
        <f t="shared" si="3"/>
        <v>141196776890625.25</v>
      </c>
    </row>
    <row r="71" spans="2:11" ht="12" customHeight="1">
      <c r="C71" s="191">
        <f t="shared" si="1"/>
        <v>0.85913678198026111</v>
      </c>
      <c r="D71" s="191">
        <f t="shared" si="2"/>
        <v>10361000.000000011</v>
      </c>
      <c r="E71" s="192">
        <f t="shared" si="3"/>
        <v>107350321000000.23</v>
      </c>
    </row>
    <row r="72" spans="2:11" ht="12" customHeight="1">
      <c r="C72" s="191">
        <f t="shared" si="1"/>
        <v>0.82020410288672885</v>
      </c>
      <c r="D72" s="191">
        <f t="shared" si="2"/>
        <v>8839375.0000000112</v>
      </c>
      <c r="E72" s="192">
        <f t="shared" si="3"/>
        <v>78134550390625.203</v>
      </c>
    </row>
    <row r="73" spans="2:11" ht="12" customHeight="1">
      <c r="C73" s="191">
        <f t="shared" si="1"/>
        <v>0.77966039949936727</v>
      </c>
      <c r="D73" s="191">
        <f t="shared" si="2"/>
        <v>7317750.0000000112</v>
      </c>
      <c r="E73" s="192">
        <f t="shared" si="3"/>
        <v>53549465062500.164</v>
      </c>
    </row>
    <row r="74" spans="2:11" ht="12" customHeight="1">
      <c r="C74" s="191">
        <f t="shared" si="1"/>
        <v>0.73743900804533269</v>
      </c>
      <c r="D74" s="191">
        <f t="shared" si="2"/>
        <v>5796125.0000000112</v>
      </c>
      <c r="E74" s="192">
        <f t="shared" si="3"/>
        <v>33595065015625.129</v>
      </c>
    </row>
    <row r="75" spans="2:11" ht="12" customHeight="1">
      <c r="C75" s="191">
        <f t="shared" si="1"/>
        <v>0.69347050622192674</v>
      </c>
      <c r="D75" s="191">
        <f t="shared" si="2"/>
        <v>4274500.0000000112</v>
      </c>
      <c r="E75" s="192">
        <f t="shared" si="3"/>
        <v>18271350250000.094</v>
      </c>
    </row>
    <row r="76" spans="2:11" ht="12" customHeight="1">
      <c r="C76" s="191">
        <f t="shared" si="1"/>
        <v>0.64768259904933834</v>
      </c>
      <c r="D76" s="191">
        <f t="shared" si="2"/>
        <v>2752875.0000000107</v>
      </c>
      <c r="E76" s="192">
        <f t="shared" si="3"/>
        <v>7578320765625.0586</v>
      </c>
      <c r="J76" s="3"/>
      <c r="K76" s="189"/>
    </row>
    <row r="77" spans="2:11" ht="12" customHeight="1">
      <c r="C77" s="191">
        <f t="shared" si="1"/>
        <v>0.6000000000000002</v>
      </c>
      <c r="D77" s="191">
        <f t="shared" si="2"/>
        <v>1231250.0000000102</v>
      </c>
      <c r="E77" s="192">
        <f t="shared" si="3"/>
        <v>1515976562500.0251</v>
      </c>
      <c r="J77" s="3"/>
      <c r="K77" s="48"/>
    </row>
    <row r="78" spans="2:11" ht="12" customHeight="1">
      <c r="C78" s="191">
        <f t="shared" si="1"/>
        <v>0.55034430720910732</v>
      </c>
      <c r="D78" s="191">
        <f t="shared" si="2"/>
        <v>-290374.99999999022</v>
      </c>
      <c r="E78" s="192">
        <f t="shared" si="3"/>
        <v>84317640624.994324</v>
      </c>
      <c r="J78" s="3"/>
      <c r="K78" s="48"/>
    </row>
    <row r="79" spans="2:11" ht="12" customHeight="1">
      <c r="C79" s="191">
        <f t="shared" si="1"/>
        <v>0.49863387456276176</v>
      </c>
      <c r="D79" s="191">
        <f t="shared" si="2"/>
        <v>-1811999.9999999907</v>
      </c>
      <c r="E79" s="192">
        <f t="shared" si="3"/>
        <v>3283343999999.9663</v>
      </c>
      <c r="J79" s="3"/>
      <c r="K79" s="48"/>
    </row>
    <row r="80" spans="2:11" ht="12" customHeight="1">
      <c r="C80" s="191">
        <f t="shared" si="1"/>
        <v>0.44478367745177355</v>
      </c>
      <c r="D80" s="191">
        <f t="shared" si="2"/>
        <v>-3333624.9999999912</v>
      </c>
      <c r="E80" s="192">
        <f t="shared" si="3"/>
        <v>11113055640624.941</v>
      </c>
      <c r="J80" s="3"/>
      <c r="K80" s="48"/>
    </row>
    <row r="81" spans="1:11" ht="12" customHeight="1">
      <c r="C81" s="191">
        <f t="shared" si="1"/>
        <v>0.38870517297039181</v>
      </c>
      <c r="D81" s="191">
        <f t="shared" si="2"/>
        <v>-4855249.9999999916</v>
      </c>
      <c r="E81" s="192">
        <f t="shared" si="3"/>
        <v>23573452562499.918</v>
      </c>
      <c r="J81" s="3"/>
      <c r="K81" s="48"/>
    </row>
    <row r="82" spans="1:11" ht="12" customHeight="1">
      <c r="C82" s="191">
        <f t="shared" si="1"/>
        <v>0.33030615433009336</v>
      </c>
      <c r="D82" s="191">
        <f t="shared" si="2"/>
        <v>-6376874.9999999925</v>
      </c>
      <c r="E82" s="192">
        <f t="shared" si="3"/>
        <v>40664534765624.906</v>
      </c>
      <c r="J82" s="3"/>
      <c r="K82" s="48"/>
    </row>
    <row r="83" spans="1:11" ht="12" customHeight="1">
      <c r="C83" s="191">
        <f t="shared" si="1"/>
        <v>0.26949059924905111</v>
      </c>
      <c r="D83" s="191">
        <f t="shared" si="2"/>
        <v>-7898499.9999999925</v>
      </c>
      <c r="E83" s="192">
        <f t="shared" si="3"/>
        <v>62386302249999.883</v>
      </c>
      <c r="J83" s="3"/>
      <c r="K83" s="48"/>
    </row>
    <row r="84" spans="1:11" ht="12" customHeight="1">
      <c r="C84" s="191">
        <f t="shared" si="1"/>
        <v>0.20615851206799909</v>
      </c>
      <c r="D84" s="191">
        <f t="shared" si="2"/>
        <v>-9420124.9999999925</v>
      </c>
      <c r="E84" s="192">
        <f t="shared" si="3"/>
        <v>88738755015624.859</v>
      </c>
      <c r="J84" s="3"/>
      <c r="K84" s="48"/>
    </row>
    <row r="85" spans="1:11" ht="12" customHeight="1">
      <c r="C85" s="191">
        <f t="shared" si="1"/>
        <v>0.14020575933289023</v>
      </c>
      <c r="D85" s="191">
        <f t="shared" si="2"/>
        <v>-10941749.999999993</v>
      </c>
      <c r="E85" s="192">
        <f t="shared" si="3"/>
        <v>119721893062499.84</v>
      </c>
      <c r="J85" s="3"/>
      <c r="K85" s="48"/>
    </row>
    <row r="86" spans="1:11" ht="12" customHeight="1">
      <c r="C86" s="191">
        <f t="shared" si="1"/>
        <v>7.1523898574007955E-2</v>
      </c>
      <c r="D86" s="191">
        <f t="shared" si="2"/>
        <v>-12463374.999999993</v>
      </c>
      <c r="E86" s="192">
        <f t="shared" si="3"/>
        <v>155335716390624.81</v>
      </c>
      <c r="J86" s="3"/>
      <c r="K86" s="48"/>
    </row>
    <row r="87" spans="1:11" ht="12" customHeight="1">
      <c r="C87" s="191">
        <f t="shared" si="1"/>
        <v>3.9968028886505641E-16</v>
      </c>
      <c r="D87" s="191">
        <f t="shared" si="2"/>
        <v>-13984999.999999993</v>
      </c>
      <c r="E87" s="192">
        <f t="shared" si="3"/>
        <v>195580224999999.78</v>
      </c>
      <c r="J87" s="3"/>
      <c r="K87" s="48"/>
    </row>
    <row r="88" spans="1:11" ht="21.75" customHeight="1">
      <c r="J88" s="3"/>
      <c r="K88" s="48"/>
    </row>
    <row r="89" spans="1:11">
      <c r="J89" s="3"/>
      <c r="K89" s="48"/>
    </row>
    <row r="90" spans="1:11">
      <c r="B90" s="66" t="s">
        <v>248</v>
      </c>
      <c r="J90" s="3"/>
      <c r="K90" s="48"/>
    </row>
    <row r="91" spans="1:11" ht="35.25" customHeight="1">
      <c r="B91" s="179" t="str" cm="1">
        <f t="array" ref="B91:F101">TRANSPOSE(B104:L108)</f>
        <v>Decision Rule</v>
      </c>
      <c r="C91" s="307" t="str">
        <v>PowerPack</v>
      </c>
      <c r="D91" s="306" t="str">
        <v>SuperStack</v>
      </c>
      <c r="E91" s="306" t="str">
        <v>Multi-Purpose</v>
      </c>
      <c r="F91" s="306" t="str">
        <v>No Lease</v>
      </c>
      <c r="J91" s="3"/>
      <c r="K91" s="48"/>
    </row>
    <row r="92" spans="1:11" ht="30.75" customHeight="1">
      <c r="A92" s="185">
        <f>MAX(C92:F92)</f>
        <v>0.48</v>
      </c>
      <c r="B92" s="299" t="str">
        <v>Scenario Probability</v>
      </c>
      <c r="C92" s="300">
        <v>7.9999999999999988E-2</v>
      </c>
      <c r="D92" s="300">
        <v>0.48</v>
      </c>
      <c r="E92" s="300">
        <v>0.32000000000000006</v>
      </c>
      <c r="F92" s="300">
        <v>0.11999999999999997</v>
      </c>
      <c r="J92" s="3"/>
      <c r="K92" s="48"/>
    </row>
    <row r="93" spans="1:11" ht="30.75" customHeight="1">
      <c r="A93" s="185">
        <f>MAX(C93:F93)</f>
        <v>0</v>
      </c>
      <c r="B93" s="301" t="str">
        <v>Min Payoff</v>
      </c>
      <c r="C93" s="270">
        <v>-3000000</v>
      </c>
      <c r="D93" s="270">
        <v>-12000000</v>
      </c>
      <c r="E93" s="270">
        <v>-14000000</v>
      </c>
      <c r="F93" s="270">
        <v>0</v>
      </c>
      <c r="J93" s="3"/>
      <c r="K93" s="48"/>
    </row>
    <row r="94" spans="1:11" ht="30.75" customHeight="1">
      <c r="A94" s="185">
        <f>MAX(C94:F94)</f>
        <v>16500000</v>
      </c>
      <c r="B94" s="301" t="str">
        <v>Max Payoff</v>
      </c>
      <c r="C94" s="270">
        <v>9500000</v>
      </c>
      <c r="D94" s="270">
        <v>6000000</v>
      </c>
      <c r="E94" s="270">
        <v>16500000</v>
      </c>
      <c r="F94" s="270">
        <v>0</v>
      </c>
      <c r="J94" s="3"/>
      <c r="K94" s="48"/>
    </row>
    <row r="95" spans="1:11" ht="30.75" customHeight="1">
      <c r="A95" s="185">
        <f>MAX(C95:F95)</f>
        <v>3250000</v>
      </c>
      <c r="B95" s="301" t="str">
        <v>Equal Probability</v>
      </c>
      <c r="C95" s="270">
        <v>3250000</v>
      </c>
      <c r="D95" s="270">
        <v>-3000000</v>
      </c>
      <c r="E95" s="270">
        <v>1250000</v>
      </c>
      <c r="F95" s="270">
        <v>0</v>
      </c>
      <c r="J95" s="3"/>
      <c r="K95" s="48"/>
    </row>
    <row r="96" spans="1:11" ht="30.75" customHeight="1">
      <c r="A96" s="185">
        <f>MAX(C96:F96)</f>
        <v>4500000</v>
      </c>
      <c r="B96" s="301" t="str">
        <v>Hurwicz Criterion (0.6)</v>
      </c>
      <c r="C96" s="270">
        <v>4500000</v>
      </c>
      <c r="D96" s="270">
        <v>-1200000</v>
      </c>
      <c r="E96" s="270">
        <v>4300000</v>
      </c>
      <c r="F96" s="270">
        <v>0</v>
      </c>
      <c r="J96" s="3"/>
      <c r="K96" s="48"/>
    </row>
    <row r="97" spans="1:12" ht="30.75" customHeight="1">
      <c r="A97" s="185">
        <f>MIN(C97:F97)</f>
        <v>9000000</v>
      </c>
      <c r="B97" s="301" t="str">
        <v>Minimax Regret</v>
      </c>
      <c r="C97" s="270">
        <v>21500000</v>
      </c>
      <c r="D97" s="270">
        <v>9000000</v>
      </c>
      <c r="E97" s="270">
        <v>16500000</v>
      </c>
      <c r="F97" s="270">
        <v>14000000</v>
      </c>
      <c r="J97" s="3"/>
      <c r="K97" s="48"/>
    </row>
    <row r="98" spans="1:12" ht="30.75" customHeight="1">
      <c r="A98" s="186">
        <f>MAX(C98:F98)</f>
        <v>5400000.0000000019</v>
      </c>
      <c r="B98" s="301" t="str">
        <v>Weighted Payoff</v>
      </c>
      <c r="C98" s="302">
        <v>2000000.0000000005</v>
      </c>
      <c r="D98" s="302">
        <v>2400000.0000000009</v>
      </c>
      <c r="E98" s="302">
        <v>5400000.0000000019</v>
      </c>
      <c r="F98" s="302">
        <v>0</v>
      </c>
      <c r="J98" s="3"/>
      <c r="K98" s="48"/>
    </row>
    <row r="99" spans="1:12" ht="30.75" customHeight="1">
      <c r="A99" s="186">
        <f>MAX(C99:F99)</f>
        <v>0.726163760563449</v>
      </c>
      <c r="B99" s="303" t="str">
        <v>Utility</v>
      </c>
      <c r="C99" s="304">
        <v>0.62433165278367941</v>
      </c>
      <c r="D99" s="304">
        <v>0.63679624885814834</v>
      </c>
      <c r="E99" s="304">
        <v>0.726163760563449</v>
      </c>
      <c r="F99" s="304">
        <v>0.55997630416485222</v>
      </c>
      <c r="J99" s="3"/>
      <c r="K99" s="48"/>
    </row>
    <row r="100" spans="1:12" ht="30.75" customHeight="1">
      <c r="A100" s="186">
        <f>MAX(C100:F100)</f>
        <v>3954555.471111428</v>
      </c>
      <c r="B100" s="303" t="str">
        <v>Economic CME</v>
      </c>
      <c r="C100" s="270">
        <v>3954555.471111428</v>
      </c>
      <c r="D100" s="270">
        <v>-1985440.1215995438</v>
      </c>
      <c r="E100" s="270">
        <v>2969115.3495118842</v>
      </c>
      <c r="F100" s="270">
        <v>0</v>
      </c>
      <c r="J100" s="3"/>
      <c r="K100" s="48"/>
    </row>
    <row r="101" spans="1:12" ht="30.75" customHeight="1">
      <c r="A101" s="186">
        <f>MAX(C101:F101)</f>
        <v>1425175.3677657044</v>
      </c>
      <c r="B101" s="305" t="str">
        <v>Weighted CME</v>
      </c>
      <c r="C101" s="271">
        <v>474546.65653337125</v>
      </c>
      <c r="D101" s="271">
        <v>-158835.20972796349</v>
      </c>
      <c r="E101" s="271">
        <v>1425175.3677657044</v>
      </c>
      <c r="F101" s="271">
        <v>0</v>
      </c>
      <c r="J101" s="3"/>
      <c r="K101" s="48"/>
    </row>
    <row r="102" spans="1:12">
      <c r="A102" s="186"/>
      <c r="J102" s="3"/>
      <c r="K102" s="48"/>
    </row>
    <row r="103" spans="1:12">
      <c r="J103" s="3"/>
      <c r="K103" s="48"/>
    </row>
    <row r="104" spans="1:12" ht="30">
      <c r="B104" s="179" t="s">
        <v>341</v>
      </c>
      <c r="C104" s="180" t="s">
        <v>344</v>
      </c>
      <c r="D104" s="180" t="str" cm="1">
        <f t="array" ref="D104:G108">G23:J27</f>
        <v>Min Payoff</v>
      </c>
      <c r="E104" s="180" t="str">
        <v>Max Payoff</v>
      </c>
      <c r="F104" s="180" t="str">
        <v>Equal Probability</v>
      </c>
      <c r="G104" s="180" t="str">
        <v>Hurwicz Criterion (0.6)</v>
      </c>
      <c r="H104" s="180" t="str" cm="1">
        <f t="array" ref="H104:H108">G33:G37</f>
        <v>Minimax Regret</v>
      </c>
      <c r="I104" s="180" t="str" cm="1">
        <f t="array" ref="I104:J108">G50:H54</f>
        <v>Weighted Payoff</v>
      </c>
      <c r="J104" s="180" t="str">
        <v>Utility</v>
      </c>
      <c r="K104" s="180" t="s">
        <v>293</v>
      </c>
      <c r="L104" s="181" t="s">
        <v>343</v>
      </c>
    </row>
    <row r="105" spans="1:12">
      <c r="B105" s="166" t="str" cm="1">
        <f t="array" ref="B105:B108">B51:B54</f>
        <v>PowerPack</v>
      </c>
      <c r="C105" s="2">
        <f>+D48</f>
        <v>7.9999999999999988E-2</v>
      </c>
      <c r="D105" s="1">
        <v>-3000000</v>
      </c>
      <c r="E105" s="1">
        <v>9500000</v>
      </c>
      <c r="F105" s="1">
        <v>3250000</v>
      </c>
      <c r="G105" s="1">
        <v>4500000</v>
      </c>
      <c r="H105" s="1">
        <v>21500000</v>
      </c>
      <c r="I105" s="1">
        <v>2000000.0000000005</v>
      </c>
      <c r="J105" s="237">
        <v>0.62433165278367941</v>
      </c>
      <c r="K105" s="297">
        <f>IF(Preference_Probabiltiy=0.5,(ExpU*(E105-D105))+D105,D105-(E105-D105)*LN(1-ExpU/alpha)/(2*LN(r__odds)))</f>
        <v>3954555.471111428</v>
      </c>
      <c r="L105" s="235" cm="1">
        <f t="array" ref="L105:L108">K105:K108*TRANSPOSE(C48:F48)</f>
        <v>474546.65653337125</v>
      </c>
    </row>
    <row r="106" spans="1:12">
      <c r="B106" s="166" t="str">
        <v>SuperStack</v>
      </c>
      <c r="C106" s="2">
        <f>+E48</f>
        <v>0.48</v>
      </c>
      <c r="D106" s="1">
        <v>-12000000</v>
      </c>
      <c r="E106" s="1">
        <v>6000000</v>
      </c>
      <c r="F106" s="1">
        <v>-3000000</v>
      </c>
      <c r="G106" s="1">
        <v>-1200000</v>
      </c>
      <c r="H106" s="1">
        <v>9000000</v>
      </c>
      <c r="I106" s="1">
        <v>2400000.0000000009</v>
      </c>
      <c r="J106" s="237">
        <v>0.63679624885814834</v>
      </c>
      <c r="K106" s="297">
        <f>IF(Preference_Probabiltiy=0.5,ExpU*(E106-D106)+D106,D106-(E106-D106)*LN(1-ExpU/alpha)/(2*LN(r__odds)))</f>
        <v>-1985440.1215995438</v>
      </c>
      <c r="L106" s="235">
        <v>-158835.20972796349</v>
      </c>
    </row>
    <row r="107" spans="1:12">
      <c r="B107" s="166" t="str">
        <v>Multi-Purpose</v>
      </c>
      <c r="C107" s="2">
        <f>+F48</f>
        <v>0.32000000000000006</v>
      </c>
      <c r="D107" s="1">
        <v>-14000000</v>
      </c>
      <c r="E107" s="1">
        <v>16500000</v>
      </c>
      <c r="F107" s="1">
        <v>1250000</v>
      </c>
      <c r="G107" s="1">
        <v>4300000</v>
      </c>
      <c r="H107" s="1">
        <v>16500000</v>
      </c>
      <c r="I107" s="1">
        <v>5400000.0000000019</v>
      </c>
      <c r="J107" s="237">
        <v>0.726163760563449</v>
      </c>
      <c r="K107" s="297">
        <f>IF(Preference_Probabiltiy=0.5,ExpU*(E107-D107)+D107,D107-(E107-D107)*LN(1-ExpU/alpha)/(2*LN(r__odds)))</f>
        <v>2969115.3495118842</v>
      </c>
      <c r="L107" s="235">
        <v>1425175.3677657044</v>
      </c>
    </row>
    <row r="108" spans="1:12">
      <c r="B108" s="168" t="str">
        <v>No Lease</v>
      </c>
      <c r="C108" s="154">
        <f>+C48</f>
        <v>0.11999999999999997</v>
      </c>
      <c r="D108" s="171">
        <v>0</v>
      </c>
      <c r="E108" s="171">
        <v>0</v>
      </c>
      <c r="F108" s="171">
        <v>0</v>
      </c>
      <c r="G108" s="171">
        <v>0</v>
      </c>
      <c r="H108" s="171">
        <v>14000000</v>
      </c>
      <c r="I108" s="171">
        <v>0</v>
      </c>
      <c r="J108" s="238">
        <v>0.55997630416485222</v>
      </c>
      <c r="K108" s="298">
        <f>IF(Preference_Probabiltiy=0.5,ExpU*(E108-D108)+D108,D108-(E108-D108)*LN(1-ExpU/alpha)/(2*LN(r__odds)))</f>
        <v>0</v>
      </c>
      <c r="L108" s="236">
        <v>0</v>
      </c>
    </row>
    <row r="109" spans="1:12">
      <c r="J109" s="3"/>
      <c r="K109" s="48"/>
    </row>
    <row r="110" spans="1:12">
      <c r="J110" s="3"/>
      <c r="K110" s="48"/>
    </row>
    <row r="111" spans="1:12">
      <c r="J111" s="3"/>
      <c r="K111" s="48"/>
    </row>
    <row r="112" spans="1:12">
      <c r="J112" s="3"/>
      <c r="K112" s="48"/>
    </row>
    <row r="113" spans="2:11">
      <c r="B113" s="156"/>
      <c r="C113" s="260" t="s">
        <v>208</v>
      </c>
      <c r="D113" s="260" t="s">
        <v>218</v>
      </c>
      <c r="E113" s="260" t="s">
        <v>209</v>
      </c>
      <c r="J113" s="3"/>
      <c r="K113" s="48"/>
    </row>
    <row r="114" spans="2:11">
      <c r="B114" s="21" t="s">
        <v>300</v>
      </c>
      <c r="C114" s="261" t="s">
        <v>308</v>
      </c>
      <c r="D114" s="261" t="s">
        <v>308</v>
      </c>
      <c r="E114" s="261" t="s">
        <v>308</v>
      </c>
      <c r="J114" s="3"/>
      <c r="K114" s="48"/>
    </row>
    <row r="115" spans="2:11">
      <c r="B115" s="21" t="s">
        <v>301</v>
      </c>
      <c r="C115" s="261" t="s">
        <v>308</v>
      </c>
      <c r="D115" s="261" t="s">
        <v>308</v>
      </c>
      <c r="E115" s="263" t="s">
        <v>309</v>
      </c>
      <c r="J115" s="3"/>
      <c r="K115" s="48"/>
    </row>
    <row r="116" spans="2:11">
      <c r="B116" s="164" t="s">
        <v>302</v>
      </c>
      <c r="C116" s="262" t="s">
        <v>308</v>
      </c>
      <c r="D116" s="264" t="s">
        <v>309</v>
      </c>
      <c r="E116" s="264" t="s">
        <v>309</v>
      </c>
      <c r="J116" s="3"/>
      <c r="K116" s="48"/>
    </row>
    <row r="117" spans="2:11">
      <c r="B117" s="21" t="s">
        <v>303</v>
      </c>
      <c r="C117" s="261" t="s">
        <v>308</v>
      </c>
      <c r="D117" s="263" t="s">
        <v>309</v>
      </c>
      <c r="E117" s="261" t="s">
        <v>308</v>
      </c>
      <c r="J117" s="3"/>
      <c r="K117" s="48"/>
    </row>
    <row r="118" spans="2:11">
      <c r="B118" s="21" t="s">
        <v>304</v>
      </c>
      <c r="C118" s="263" t="s">
        <v>309</v>
      </c>
      <c r="D118" s="261" t="s">
        <v>308</v>
      </c>
      <c r="E118" s="261" t="s">
        <v>308</v>
      </c>
      <c r="J118" s="3"/>
      <c r="K118" s="48"/>
    </row>
    <row r="119" spans="2:11">
      <c r="B119" s="164" t="s">
        <v>305</v>
      </c>
      <c r="C119" s="264" t="s">
        <v>309</v>
      </c>
      <c r="D119" s="264" t="s">
        <v>309</v>
      </c>
      <c r="E119" s="262" t="s">
        <v>308</v>
      </c>
      <c r="J119" s="3"/>
      <c r="K119" s="48"/>
    </row>
    <row r="120" spans="2:11">
      <c r="B120" s="164" t="s">
        <v>306</v>
      </c>
      <c r="C120" s="264" t="s">
        <v>309</v>
      </c>
      <c r="D120" s="262" t="s">
        <v>308</v>
      </c>
      <c r="E120" s="264" t="s">
        <v>309</v>
      </c>
      <c r="J120" s="3"/>
      <c r="K120" s="48"/>
    </row>
    <row r="121" spans="2:11">
      <c r="B121" s="259" t="s">
        <v>307</v>
      </c>
      <c r="C121" s="265" t="s">
        <v>309</v>
      </c>
      <c r="D121" s="265" t="s">
        <v>309</v>
      </c>
      <c r="E121" s="265" t="s">
        <v>309</v>
      </c>
      <c r="J121" s="3"/>
      <c r="K121" s="48"/>
    </row>
    <row r="122" spans="2:11">
      <c r="J122" s="3"/>
      <c r="K122" s="48"/>
    </row>
    <row r="123" spans="2:11">
      <c r="B123" s="31"/>
      <c r="C123" s="150" t="s">
        <v>227</v>
      </c>
      <c r="D123" s="29" t="s">
        <v>228</v>
      </c>
      <c r="J123" s="3"/>
      <c r="K123" s="48"/>
    </row>
    <row r="124" spans="2:11">
      <c r="B124" s="19" t="s">
        <v>224</v>
      </c>
      <c r="C124" s="2" t="s">
        <v>310</v>
      </c>
      <c r="D124" s="152" t="s">
        <v>311</v>
      </c>
      <c r="J124" s="3"/>
      <c r="K124" s="48"/>
    </row>
    <row r="125" spans="2:11">
      <c r="B125" s="153" t="s">
        <v>215</v>
      </c>
      <c r="C125" s="154"/>
      <c r="D125" s="155"/>
      <c r="J125" s="3"/>
      <c r="K125" s="48"/>
    </row>
    <row r="126" spans="2:11">
      <c r="J126" s="3"/>
      <c r="K126" s="48"/>
    </row>
    <row r="127" spans="2:11" ht="18">
      <c r="C127" s="8" t="s">
        <v>312</v>
      </c>
      <c r="D127" s="8" t="s">
        <v>313</v>
      </c>
      <c r="E127" s="8" t="s">
        <v>314</v>
      </c>
      <c r="F127" s="8" t="s">
        <v>315</v>
      </c>
      <c r="J127" s="3"/>
      <c r="K127" s="48"/>
    </row>
    <row r="128" spans="2:11">
      <c r="C128" s="359" t="s">
        <v>0</v>
      </c>
      <c r="D128" s="359"/>
      <c r="E128" s="359"/>
      <c r="F128" s="359"/>
      <c r="J128" s="3"/>
      <c r="K128" s="48"/>
    </row>
    <row r="129" spans="1:11">
      <c r="B129" s="267" t="s">
        <v>219</v>
      </c>
      <c r="C129" s="266" t="s">
        <v>216</v>
      </c>
      <c r="D129" s="266" t="s">
        <v>224</v>
      </c>
      <c r="E129" s="266" t="s">
        <v>215</v>
      </c>
      <c r="F129" s="268" t="s">
        <v>217</v>
      </c>
      <c r="J129" s="3"/>
      <c r="K129" s="48"/>
    </row>
    <row r="130" spans="1:11" ht="18">
      <c r="A130" t="s">
        <v>316</v>
      </c>
      <c r="B130" s="269" t="s">
        <v>208</v>
      </c>
      <c r="C130" s="8" t="s">
        <v>320</v>
      </c>
      <c r="D130" s="8" t="s">
        <v>321</v>
      </c>
      <c r="E130" s="8" t="s">
        <v>322</v>
      </c>
      <c r="F130" s="8" t="s">
        <v>323</v>
      </c>
      <c r="J130" s="3"/>
      <c r="K130" s="48"/>
    </row>
    <row r="131" spans="1:11" ht="18">
      <c r="A131" t="s">
        <v>317</v>
      </c>
      <c r="B131" s="269" t="s">
        <v>218</v>
      </c>
      <c r="C131" s="8" t="s">
        <v>324</v>
      </c>
      <c r="D131" s="8" t="s">
        <v>325</v>
      </c>
      <c r="E131" s="8" t="s">
        <v>326</v>
      </c>
      <c r="F131" s="8" t="s">
        <v>327</v>
      </c>
      <c r="J131" s="3"/>
      <c r="K131" s="48"/>
    </row>
    <row r="132" spans="1:11" ht="18">
      <c r="A132" t="s">
        <v>318</v>
      </c>
      <c r="B132" s="269" t="s">
        <v>209</v>
      </c>
      <c r="C132" s="8" t="s">
        <v>328</v>
      </c>
      <c r="D132" s="8" t="s">
        <v>329</v>
      </c>
      <c r="E132" s="8" t="s">
        <v>330</v>
      </c>
      <c r="F132" s="8" t="s">
        <v>331</v>
      </c>
      <c r="J132" s="3"/>
      <c r="K132" s="48"/>
    </row>
    <row r="133" spans="1:11" ht="18">
      <c r="A133" t="s">
        <v>319</v>
      </c>
      <c r="B133" s="269" t="s">
        <v>214</v>
      </c>
      <c r="C133" s="8" t="s">
        <v>332</v>
      </c>
      <c r="D133" s="8" t="s">
        <v>333</v>
      </c>
      <c r="E133" s="8" t="s">
        <v>334</v>
      </c>
      <c r="F133" s="8" t="s">
        <v>335</v>
      </c>
      <c r="J133" s="3"/>
      <c r="K133" s="48"/>
    </row>
    <row r="134" spans="1:11">
      <c r="J134" s="3"/>
      <c r="K134" s="48"/>
    </row>
    <row r="182" customFormat="1"/>
    <row r="1000" spans="189:204">
      <c r="GH1000" s="44" t="s">
        <v>55</v>
      </c>
      <c r="GI1000" s="44" t="s">
        <v>56</v>
      </c>
      <c r="GJ1000" s="44" t="s">
        <v>57</v>
      </c>
      <c r="GK1000" s="44" t="s">
        <v>58</v>
      </c>
      <c r="GL1000" s="44" t="s">
        <v>59</v>
      </c>
      <c r="GM1000" s="44" t="s">
        <v>60</v>
      </c>
      <c r="GN1000" s="44" t="s">
        <v>61</v>
      </c>
      <c r="GO1000" s="44" t="s">
        <v>62</v>
      </c>
      <c r="GP1000" s="44" t="s">
        <v>63</v>
      </c>
      <c r="GQ1000" s="44" t="s">
        <v>64</v>
      </c>
      <c r="GR1000" s="44" t="s">
        <v>65</v>
      </c>
      <c r="GS1000" s="44" t="s">
        <v>66</v>
      </c>
      <c r="GT1000" s="44" t="s">
        <v>67</v>
      </c>
      <c r="GU1000" s="44" t="s">
        <v>68</v>
      </c>
      <c r="GV1000" s="44" t="s">
        <v>69</v>
      </c>
    </row>
    <row r="1001" spans="189:204">
      <c r="GG1001">
        <v>0</v>
      </c>
      <c r="GH1001" s="44">
        <v>0</v>
      </c>
      <c r="GI1001" s="44" t="s">
        <v>70</v>
      </c>
      <c r="GJ1001" s="44">
        <v>0</v>
      </c>
      <c r="GK1001" s="44">
        <v>0</v>
      </c>
      <c r="GL1001" s="44">
        <v>0</v>
      </c>
      <c r="GM1001" s="44" t="s">
        <v>71</v>
      </c>
      <c r="GN1001" s="44">
        <v>3</v>
      </c>
      <c r="GO1001" s="44">
        <v>1</v>
      </c>
      <c r="GP1001" s="44">
        <v>2</v>
      </c>
      <c r="GQ1001" s="44">
        <v>3</v>
      </c>
      <c r="GR1001" s="44">
        <v>0</v>
      </c>
      <c r="GS1001" s="44">
        <v>0</v>
      </c>
      <c r="GT1001" s="45">
        <v>16</v>
      </c>
      <c r="GU1001" s="45">
        <v>1</v>
      </c>
      <c r="GV1001" s="45" t="b">
        <v>1</v>
      </c>
    </row>
    <row r="1002" spans="189:204">
      <c r="GG1002">
        <v>0</v>
      </c>
      <c r="GH1002" s="44">
        <v>1</v>
      </c>
      <c r="GK1002">
        <v>0</v>
      </c>
      <c r="GL1002" s="44">
        <v>0</v>
      </c>
      <c r="GM1002" s="44" t="s">
        <v>72</v>
      </c>
      <c r="GN1002" s="44">
        <v>2</v>
      </c>
      <c r="GO1002" s="44">
        <v>4</v>
      </c>
      <c r="GP1002" s="44">
        <v>5</v>
      </c>
      <c r="GQ1002" s="44">
        <v>0</v>
      </c>
      <c r="GR1002" s="44">
        <v>0</v>
      </c>
      <c r="GS1002" s="44">
        <v>0</v>
      </c>
      <c r="GT1002" s="45">
        <v>4</v>
      </c>
      <c r="GU1002" s="45">
        <v>5</v>
      </c>
      <c r="GV1002" s="45" t="b">
        <v>1</v>
      </c>
    </row>
    <row r="1003" spans="189:204">
      <c r="GG1003">
        <v>9</v>
      </c>
      <c r="GH1003" s="44">
        <v>2</v>
      </c>
      <c r="GK1003">
        <v>0</v>
      </c>
      <c r="GL1003" s="44">
        <v>0</v>
      </c>
      <c r="GM1003" s="44" t="s">
        <v>72</v>
      </c>
      <c r="GN1003" s="44">
        <v>2</v>
      </c>
      <c r="GO1003" s="44">
        <v>6</v>
      </c>
      <c r="GP1003" s="44">
        <v>7</v>
      </c>
      <c r="GQ1003" s="44">
        <v>0</v>
      </c>
      <c r="GR1003" s="44">
        <v>0</v>
      </c>
      <c r="GS1003" s="44">
        <v>0</v>
      </c>
      <c r="GT1003" s="45">
        <v>14</v>
      </c>
      <c r="GU1003" s="45">
        <v>5</v>
      </c>
      <c r="GV1003" s="45" t="b">
        <v>1</v>
      </c>
    </row>
    <row r="1004" spans="189:204">
      <c r="GG1004">
        <v>0</v>
      </c>
      <c r="GH1004">
        <v>3</v>
      </c>
      <c r="GK1004">
        <v>0</v>
      </c>
      <c r="GL1004">
        <v>0</v>
      </c>
      <c r="GM1004" t="s">
        <v>72</v>
      </c>
      <c r="GN1004">
        <v>4</v>
      </c>
      <c r="GO1004">
        <v>8</v>
      </c>
      <c r="GP1004">
        <v>9</v>
      </c>
      <c r="GQ1004">
        <v>10</v>
      </c>
      <c r="GR1004">
        <v>11</v>
      </c>
      <c r="GS1004">
        <v>0</v>
      </c>
      <c r="GT1004">
        <v>29</v>
      </c>
      <c r="GU1004">
        <v>5</v>
      </c>
      <c r="GV1004" t="b">
        <v>1</v>
      </c>
    </row>
    <row r="1005" spans="189:204">
      <c r="GG1005">
        <v>0</v>
      </c>
      <c r="GH1005">
        <v>4</v>
      </c>
      <c r="GL1005">
        <v>1</v>
      </c>
      <c r="GM1005" t="s">
        <v>73</v>
      </c>
      <c r="GN1005">
        <v>0</v>
      </c>
      <c r="GO1005">
        <v>0</v>
      </c>
      <c r="GP1005">
        <v>0</v>
      </c>
      <c r="GQ1005">
        <v>0</v>
      </c>
      <c r="GR1005">
        <v>0</v>
      </c>
      <c r="GS1005">
        <v>0</v>
      </c>
      <c r="GT1005">
        <v>2</v>
      </c>
      <c r="GU1005">
        <v>9</v>
      </c>
      <c r="GV1005" t="b">
        <v>1</v>
      </c>
    </row>
    <row r="1006" spans="189:204">
      <c r="GG1006">
        <v>0</v>
      </c>
      <c r="GH1006">
        <v>5</v>
      </c>
      <c r="GL1006">
        <v>1</v>
      </c>
      <c r="GM1006" t="s">
        <v>73</v>
      </c>
      <c r="GN1006">
        <v>0</v>
      </c>
      <c r="GO1006">
        <v>0</v>
      </c>
      <c r="GP1006">
        <v>0</v>
      </c>
      <c r="GQ1006">
        <v>0</v>
      </c>
      <c r="GR1006">
        <v>0</v>
      </c>
      <c r="GS1006">
        <v>0</v>
      </c>
      <c r="GT1006">
        <v>7</v>
      </c>
      <c r="GU1006">
        <v>9</v>
      </c>
      <c r="GV1006" t="b">
        <v>1</v>
      </c>
    </row>
    <row r="1007" spans="189:204">
      <c r="GG1007">
        <v>12</v>
      </c>
      <c r="GH1007">
        <v>6</v>
      </c>
      <c r="GL1007">
        <v>2</v>
      </c>
      <c r="GM1007" t="s">
        <v>73</v>
      </c>
      <c r="GN1007">
        <v>0</v>
      </c>
      <c r="GO1007">
        <v>0</v>
      </c>
      <c r="GP1007">
        <v>0</v>
      </c>
      <c r="GQ1007">
        <v>0</v>
      </c>
      <c r="GR1007">
        <v>0</v>
      </c>
      <c r="GS1007">
        <v>0</v>
      </c>
      <c r="GT1007">
        <v>12</v>
      </c>
      <c r="GU1007">
        <v>9</v>
      </c>
      <c r="GV1007" t="b">
        <v>1</v>
      </c>
    </row>
    <row r="1008" spans="189:204">
      <c r="GG1008">
        <v>13</v>
      </c>
      <c r="GH1008">
        <v>7</v>
      </c>
      <c r="GL1008">
        <v>2</v>
      </c>
      <c r="GM1008" t="s">
        <v>73</v>
      </c>
      <c r="GN1008">
        <v>0</v>
      </c>
      <c r="GO1008">
        <v>0</v>
      </c>
      <c r="GP1008">
        <v>0</v>
      </c>
      <c r="GQ1008">
        <v>0</v>
      </c>
      <c r="GR1008">
        <v>0</v>
      </c>
      <c r="GS1008">
        <v>0</v>
      </c>
      <c r="GT1008">
        <v>17</v>
      </c>
      <c r="GU1008">
        <v>9</v>
      </c>
      <c r="GV1008" t="b">
        <v>1</v>
      </c>
    </row>
    <row r="1009" spans="190:204">
      <c r="GH1009">
        <v>8</v>
      </c>
      <c r="GL1009">
        <v>3</v>
      </c>
      <c r="GM1009" t="s">
        <v>73</v>
      </c>
      <c r="GN1009">
        <v>0</v>
      </c>
      <c r="GO1009">
        <v>0</v>
      </c>
      <c r="GP1009">
        <v>0</v>
      </c>
      <c r="GQ1009">
        <v>0</v>
      </c>
      <c r="GR1009">
        <v>0</v>
      </c>
      <c r="GS1009">
        <v>0</v>
      </c>
      <c r="GT1009">
        <v>22</v>
      </c>
      <c r="GU1009">
        <v>9</v>
      </c>
      <c r="GV1009" t="b">
        <v>1</v>
      </c>
    </row>
    <row r="1010" spans="190:204">
      <c r="GH1010">
        <v>9</v>
      </c>
      <c r="GL1010">
        <v>3</v>
      </c>
      <c r="GM1010" t="s">
        <v>73</v>
      </c>
      <c r="GN1010">
        <v>0</v>
      </c>
      <c r="GO1010">
        <v>0</v>
      </c>
      <c r="GP1010">
        <v>0</v>
      </c>
      <c r="GQ1010">
        <v>0</v>
      </c>
      <c r="GR1010">
        <v>0</v>
      </c>
      <c r="GS1010">
        <v>0</v>
      </c>
      <c r="GT1010">
        <v>27</v>
      </c>
      <c r="GU1010">
        <v>9</v>
      </c>
      <c r="GV1010" t="b">
        <v>1</v>
      </c>
    </row>
    <row r="1011" spans="190:204">
      <c r="GH1011">
        <v>10</v>
      </c>
      <c r="GL1011">
        <v>3</v>
      </c>
      <c r="GM1011" t="s">
        <v>73</v>
      </c>
      <c r="GN1011">
        <v>0</v>
      </c>
      <c r="GO1011">
        <v>0</v>
      </c>
      <c r="GP1011">
        <v>0</v>
      </c>
      <c r="GQ1011">
        <v>0</v>
      </c>
      <c r="GR1011">
        <v>0</v>
      </c>
      <c r="GS1011">
        <v>0</v>
      </c>
      <c r="GT1011">
        <v>32</v>
      </c>
      <c r="GU1011">
        <v>9</v>
      </c>
      <c r="GV1011" t="b">
        <v>1</v>
      </c>
    </row>
    <row r="1012" spans="190:204">
      <c r="GH1012">
        <v>11</v>
      </c>
      <c r="GL1012">
        <v>3</v>
      </c>
      <c r="GM1012" t="s">
        <v>73</v>
      </c>
      <c r="GN1012">
        <v>0</v>
      </c>
      <c r="GO1012">
        <v>0</v>
      </c>
      <c r="GP1012">
        <v>0</v>
      </c>
      <c r="GQ1012">
        <v>0</v>
      </c>
      <c r="GR1012">
        <v>0</v>
      </c>
      <c r="GS1012">
        <v>0</v>
      </c>
      <c r="GT1012">
        <v>37</v>
      </c>
      <c r="GU1012">
        <v>9</v>
      </c>
      <c r="GV1012" t="b">
        <v>1</v>
      </c>
    </row>
  </sheetData>
  <mergeCells count="5">
    <mergeCell ref="C49:F49"/>
    <mergeCell ref="C47:F47"/>
    <mergeCell ref="B5:E5"/>
    <mergeCell ref="C12:F12"/>
    <mergeCell ref="C128:F128"/>
  </mergeCells>
  <phoneticPr fontId="20" type="noConversion"/>
  <conditionalFormatting sqref="D92 F92">
    <cfRule type="cellIs" dxfId="15" priority="14" operator="equal">
      <formula>H92</formula>
    </cfRule>
  </conditionalFormatting>
  <conditionalFormatting sqref="C92">
    <cfRule type="cellIs" dxfId="14" priority="16" operator="equal">
      <formula>A92</formula>
    </cfRule>
  </conditionalFormatting>
  <conditionalFormatting sqref="C93:F93">
    <cfRule type="cellIs" dxfId="13" priority="17" operator="equal">
      <formula>$A$93</formula>
    </cfRule>
  </conditionalFormatting>
  <conditionalFormatting sqref="C94:F94">
    <cfRule type="cellIs" dxfId="12" priority="18" operator="equal">
      <formula>$A$94</formula>
    </cfRule>
  </conditionalFormatting>
  <conditionalFormatting sqref="C95:F95">
    <cfRule type="cellIs" dxfId="11" priority="19" operator="equal">
      <formula>$A$95</formula>
    </cfRule>
  </conditionalFormatting>
  <conditionalFormatting sqref="C96:F96">
    <cfRule type="cellIs" dxfId="10" priority="20" operator="equal">
      <formula>$A$96</formula>
    </cfRule>
  </conditionalFormatting>
  <conditionalFormatting sqref="C97:F97">
    <cfRule type="cellIs" dxfId="9" priority="21" operator="equal">
      <formula>$A$97</formula>
    </cfRule>
  </conditionalFormatting>
  <conditionalFormatting sqref="C98:F98">
    <cfRule type="cellIs" dxfId="8" priority="22" operator="equal">
      <formula>$A$98</formula>
    </cfRule>
  </conditionalFormatting>
  <conditionalFormatting sqref="E92">
    <cfRule type="cellIs" dxfId="7" priority="25" operator="equal">
      <formula>K98</formula>
    </cfRule>
  </conditionalFormatting>
  <conditionalFormatting sqref="C99:F99">
    <cfRule type="cellIs" dxfId="6" priority="7" operator="equal">
      <formula>$A$99</formula>
    </cfRule>
  </conditionalFormatting>
  <conditionalFormatting sqref="C100:F100">
    <cfRule type="cellIs" dxfId="5" priority="5" operator="equal">
      <formula>$A$100</formula>
    </cfRule>
    <cfRule type="cellIs" dxfId="4" priority="6" operator="equal">
      <formula>$A$99</formula>
    </cfRule>
  </conditionalFormatting>
  <conditionalFormatting sqref="C101:F101">
    <cfRule type="cellIs" dxfId="3" priority="1" operator="equal">
      <formula>$A$101</formula>
    </cfRule>
    <cfRule type="cellIs" dxfId="2" priority="3" operator="equal">
      <formula>$A$100</formula>
    </cfRule>
    <cfRule type="cellIs" dxfId="1" priority="4" operator="equal">
      <formula>$A$99</formula>
    </cfRule>
  </conditionalFormatting>
  <conditionalFormatting sqref="C92:F92">
    <cfRule type="cellIs" dxfId="0" priority="2" operator="equal">
      <formula>$A$92</formula>
    </cfRule>
  </conditionalFormatting>
  <pageMargins left="0.7" right="0.7" top="0.75" bottom="0.75" header="0.3" footer="0.3"/>
  <pageSetup scale="12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R89"/>
  <sheetViews>
    <sheetView showGridLines="0" topLeftCell="A89" zoomScale="130" zoomScaleNormal="130" workbookViewId="0">
      <selection activeCell="G71" sqref="G71"/>
    </sheetView>
  </sheetViews>
  <sheetFormatPr defaultRowHeight="15" outlineLevelRow="1"/>
  <cols>
    <col min="1" max="1" width="4.28515625" customWidth="1"/>
    <col min="2" max="2" width="31.5703125" customWidth="1"/>
    <col min="3" max="4" width="18.28515625" customWidth="1"/>
    <col min="5" max="5" width="14.42578125" customWidth="1"/>
    <col min="6" max="6" width="31.5703125" customWidth="1"/>
    <col min="7" max="8" width="18.140625" customWidth="1"/>
    <col min="9" max="9" width="18.42578125" customWidth="1"/>
    <col min="10" max="10" width="16.5703125" customWidth="1"/>
    <col min="11" max="11" width="17.28515625" customWidth="1"/>
    <col min="12" max="12" width="16.28515625" customWidth="1"/>
    <col min="13" max="13" width="14.140625" customWidth="1"/>
    <col min="14" max="14" width="17.7109375" customWidth="1"/>
  </cols>
  <sheetData>
    <row r="1" spans="1:18" ht="23.25">
      <c r="A1" s="46" t="s">
        <v>160</v>
      </c>
    </row>
    <row r="2" spans="1:18" ht="15" customHeight="1"/>
    <row r="3" spans="1:18" ht="15.75" outlineLevel="1">
      <c r="A3" s="126" t="s">
        <v>158</v>
      </c>
      <c r="G3" s="126" t="s">
        <v>159</v>
      </c>
      <c r="Q3" s="141" t="s">
        <v>183</v>
      </c>
      <c r="R3" s="142">
        <f>38/118</f>
        <v>0.32203389830508472</v>
      </c>
    </row>
    <row r="4" spans="1:18" outlineLevel="1">
      <c r="I4" s="12"/>
      <c r="N4" s="6" t="s">
        <v>182</v>
      </c>
    </row>
    <row r="5" spans="1:18" outlineLevel="1">
      <c r="B5" s="6" t="s">
        <v>8</v>
      </c>
      <c r="C5" s="371" t="s">
        <v>0</v>
      </c>
      <c r="D5" s="371"/>
      <c r="G5" s="6" t="s">
        <v>9</v>
      </c>
      <c r="H5" s="133" t="s">
        <v>0</v>
      </c>
      <c r="I5" s="133"/>
      <c r="N5" s="372" t="s">
        <v>184</v>
      </c>
      <c r="O5" s="139" t="s">
        <v>162</v>
      </c>
      <c r="P5" s="139" t="s">
        <v>164</v>
      </c>
      <c r="Q5" s="139" t="s">
        <v>165</v>
      </c>
      <c r="R5" s="139" t="s">
        <v>166</v>
      </c>
    </row>
    <row r="6" spans="1:18" outlineLevel="1">
      <c r="B6" s="129" t="s">
        <v>161</v>
      </c>
      <c r="C6" s="127" t="s">
        <v>2</v>
      </c>
      <c r="D6" s="127" t="s">
        <v>1</v>
      </c>
      <c r="G6" s="129" t="s">
        <v>161</v>
      </c>
      <c r="H6" s="127" t="s">
        <v>2</v>
      </c>
      <c r="I6" s="127" t="s">
        <v>1</v>
      </c>
      <c r="J6" s="15" t="s">
        <v>26</v>
      </c>
      <c r="N6" s="372"/>
      <c r="O6" s="137" t="s">
        <v>163</v>
      </c>
      <c r="P6" s="137" t="s">
        <v>163</v>
      </c>
      <c r="Q6" s="137" t="s">
        <v>163</v>
      </c>
      <c r="R6" s="137" t="s">
        <v>163</v>
      </c>
    </row>
    <row r="7" spans="1:18" s="9" customFormat="1" ht="30.75" customHeight="1" outlineLevel="1">
      <c r="B7" s="131" t="s">
        <v>156</v>
      </c>
      <c r="C7" s="16" t="s">
        <v>6</v>
      </c>
      <c r="D7" s="47" t="s">
        <v>87</v>
      </c>
      <c r="G7" s="131" t="s">
        <v>156</v>
      </c>
      <c r="H7" s="13">
        <v>0.5</v>
      </c>
      <c r="I7" s="13">
        <v>0.5</v>
      </c>
      <c r="J7" s="13">
        <f xml:space="preserve"> SUM(H7:I7)</f>
        <v>1</v>
      </c>
      <c r="N7" s="140" t="s">
        <v>167</v>
      </c>
      <c r="O7" s="138">
        <v>0</v>
      </c>
      <c r="P7" s="138">
        <v>21</v>
      </c>
      <c r="Q7" s="138">
        <v>10</v>
      </c>
      <c r="R7" s="138">
        <v>4</v>
      </c>
    </row>
    <row r="8" spans="1:18" s="9" customFormat="1" ht="30.75" customHeight="1" outlineLevel="1">
      <c r="B8" s="131" t="s">
        <v>157</v>
      </c>
      <c r="C8" s="47" t="s">
        <v>87</v>
      </c>
      <c r="D8" s="16" t="s">
        <v>7</v>
      </c>
      <c r="G8" s="131" t="s">
        <v>157</v>
      </c>
      <c r="H8" s="13">
        <v>0.5</v>
      </c>
      <c r="I8" s="13">
        <v>0.5</v>
      </c>
      <c r="J8" s="13">
        <f xml:space="preserve"> SUM(H8:I8)</f>
        <v>1</v>
      </c>
      <c r="N8" s="140" t="s">
        <v>168</v>
      </c>
      <c r="O8" s="138">
        <v>0</v>
      </c>
      <c r="P8" s="138">
        <v>19</v>
      </c>
      <c r="Q8" s="138">
        <v>9</v>
      </c>
      <c r="R8" s="138">
        <v>3</v>
      </c>
    </row>
    <row r="9" spans="1:18" outlineLevel="1">
      <c r="N9" s="140" t="s">
        <v>169</v>
      </c>
      <c r="O9" s="138">
        <v>0</v>
      </c>
      <c r="P9" s="138">
        <v>11</v>
      </c>
      <c r="Q9" s="138">
        <v>11</v>
      </c>
      <c r="R9" s="138">
        <v>2</v>
      </c>
    </row>
    <row r="10" spans="1:18" outlineLevel="1">
      <c r="B10" s="6" t="s">
        <v>10</v>
      </c>
      <c r="C10" s="371" t="s">
        <v>0</v>
      </c>
      <c r="D10" s="371"/>
      <c r="G10" s="6" t="s">
        <v>11</v>
      </c>
      <c r="H10" s="133" t="s">
        <v>0</v>
      </c>
      <c r="I10" s="133"/>
      <c r="N10" s="140" t="s">
        <v>170</v>
      </c>
      <c r="O10" s="138">
        <v>0</v>
      </c>
      <c r="P10" s="138">
        <v>1</v>
      </c>
      <c r="Q10" s="138">
        <v>11</v>
      </c>
      <c r="R10" s="138">
        <v>0</v>
      </c>
    </row>
    <row r="11" spans="1:18" outlineLevel="1">
      <c r="B11" s="129" t="s">
        <v>161</v>
      </c>
      <c r="C11" s="127" t="s">
        <v>2</v>
      </c>
      <c r="D11" s="127" t="s">
        <v>1</v>
      </c>
      <c r="G11" s="129" t="s">
        <v>161</v>
      </c>
      <c r="H11" s="127" t="s">
        <v>2</v>
      </c>
      <c r="I11" s="127" t="s">
        <v>1</v>
      </c>
      <c r="J11" s="7" t="s">
        <v>12</v>
      </c>
      <c r="N11" s="140" t="s">
        <v>171</v>
      </c>
      <c r="O11" s="138">
        <v>1</v>
      </c>
      <c r="P11" s="138">
        <v>0</v>
      </c>
      <c r="Q11" s="138">
        <v>11</v>
      </c>
      <c r="R11" s="138">
        <v>0</v>
      </c>
    </row>
    <row r="12" spans="1:18" s="11" customFormat="1" ht="31.5" customHeight="1" outlineLevel="1">
      <c r="B12" s="131" t="s">
        <v>156</v>
      </c>
      <c r="C12" s="128">
        <v>2250</v>
      </c>
      <c r="D12" s="128">
        <v>-1000</v>
      </c>
      <c r="G12" s="131" t="s">
        <v>156</v>
      </c>
      <c r="H12" s="128" cm="1">
        <f t="array" ref="H12:I13">H7:I8*C12:D13</f>
        <v>1125</v>
      </c>
      <c r="I12" s="128">
        <v>-500</v>
      </c>
      <c r="J12" s="10">
        <f xml:space="preserve"> SUM(H12:I12)</f>
        <v>625</v>
      </c>
      <c r="N12" s="140" t="s">
        <v>172</v>
      </c>
      <c r="O12" s="138">
        <v>3</v>
      </c>
      <c r="P12" s="138">
        <v>0</v>
      </c>
      <c r="Q12" s="138">
        <v>11</v>
      </c>
      <c r="R12" s="138">
        <v>0</v>
      </c>
    </row>
    <row r="13" spans="1:18" s="11" customFormat="1" ht="31.5" customHeight="1" outlineLevel="1">
      <c r="B13" s="131" t="s">
        <v>157</v>
      </c>
      <c r="C13" s="128">
        <v>-1000</v>
      </c>
      <c r="D13" s="128">
        <v>2750</v>
      </c>
      <c r="G13" s="131" t="s">
        <v>157</v>
      </c>
      <c r="H13" s="128">
        <v>-500</v>
      </c>
      <c r="I13" s="128">
        <v>1375</v>
      </c>
      <c r="J13" s="10">
        <f xml:space="preserve"> SUM(H13:I13)</f>
        <v>875</v>
      </c>
      <c r="N13" s="140" t="s">
        <v>173</v>
      </c>
      <c r="O13" s="138">
        <v>6</v>
      </c>
      <c r="P13" s="138">
        <v>0</v>
      </c>
      <c r="Q13" s="138">
        <v>10</v>
      </c>
      <c r="R13" s="138">
        <v>0</v>
      </c>
    </row>
    <row r="14" spans="1:18" ht="18" customHeight="1" outlineLevel="1">
      <c r="N14" s="140" t="s">
        <v>174</v>
      </c>
      <c r="O14" s="138">
        <v>4</v>
      </c>
      <c r="P14" s="138">
        <v>0</v>
      </c>
      <c r="Q14" s="138">
        <v>9</v>
      </c>
      <c r="R14" s="138">
        <v>0</v>
      </c>
    </row>
    <row r="15" spans="1:18" ht="31.5" customHeight="1" outlineLevel="1">
      <c r="A15" s="126" t="s">
        <v>13</v>
      </c>
      <c r="G15" s="126" t="s">
        <v>20</v>
      </c>
      <c r="N15" s="140" t="s">
        <v>175</v>
      </c>
      <c r="O15" s="138">
        <v>1</v>
      </c>
      <c r="P15" s="138">
        <v>0</v>
      </c>
      <c r="Q15" s="138">
        <v>8</v>
      </c>
      <c r="R15" s="138">
        <v>0</v>
      </c>
    </row>
    <row r="16" spans="1:18" outlineLevel="1">
      <c r="A16" s="5" t="s">
        <v>19</v>
      </c>
      <c r="G16" s="17" t="s">
        <v>14</v>
      </c>
      <c r="H16" s="18"/>
      <c r="I16" s="18"/>
      <c r="J16" s="36" t="str">
        <f>VLOOKUP(MAX(E24:E25),$E$24:$F$25,2,FALSE)</f>
        <v>Ice Cream + Tacos</v>
      </c>
      <c r="N16" s="140" t="s">
        <v>176</v>
      </c>
      <c r="O16" s="138">
        <v>0</v>
      </c>
      <c r="P16" s="138">
        <v>0</v>
      </c>
      <c r="Q16" s="138">
        <v>9</v>
      </c>
      <c r="R16" s="138">
        <v>0</v>
      </c>
    </row>
    <row r="17" spans="2:18" outlineLevel="1">
      <c r="B17" s="6" t="s">
        <v>9</v>
      </c>
      <c r="C17" s="371" t="s">
        <v>0</v>
      </c>
      <c r="D17" s="371"/>
      <c r="G17" s="19" t="s">
        <v>15</v>
      </c>
      <c r="H17" s="135"/>
      <c r="I17" s="135"/>
      <c r="J17" s="37">
        <f>MAX(E24:E25)</f>
        <v>1275</v>
      </c>
      <c r="N17" s="140" t="s">
        <v>177</v>
      </c>
      <c r="O17" s="138">
        <v>0</v>
      </c>
      <c r="P17" s="138">
        <v>3</v>
      </c>
      <c r="Q17" s="138">
        <v>9</v>
      </c>
      <c r="R17" s="138">
        <v>0</v>
      </c>
    </row>
    <row r="18" spans="2:18" outlineLevel="1">
      <c r="B18" s="129" t="s">
        <v>161</v>
      </c>
      <c r="C18" s="127" t="s">
        <v>2</v>
      </c>
      <c r="D18" s="127" t="s">
        <v>1</v>
      </c>
      <c r="E18" s="15" t="s">
        <v>26</v>
      </c>
      <c r="G18" s="19" t="s">
        <v>180</v>
      </c>
      <c r="J18" s="38">
        <f>J17-VLOOKUP(J16,$G$12:$J$13,4,FALSE)</f>
        <v>650</v>
      </c>
      <c r="N18" s="140" t="s">
        <v>178</v>
      </c>
      <c r="O18" s="138">
        <v>0</v>
      </c>
      <c r="P18" s="138">
        <v>15</v>
      </c>
      <c r="Q18" s="138">
        <v>10</v>
      </c>
      <c r="R18" s="138">
        <v>3</v>
      </c>
    </row>
    <row r="19" spans="2:18" ht="32.25" customHeight="1" outlineLevel="1">
      <c r="B19" s="131" t="s">
        <v>156</v>
      </c>
      <c r="C19" s="13">
        <v>0.7</v>
      </c>
      <c r="D19" s="13">
        <f>1-C19</f>
        <v>0.30000000000000004</v>
      </c>
      <c r="E19" s="13">
        <f xml:space="preserve"> SUM(C19:D19)</f>
        <v>1</v>
      </c>
      <c r="G19" s="25" t="s">
        <v>181</v>
      </c>
      <c r="J19" s="39">
        <f>MAX(G24:G254)-MAX(J12:J13)</f>
        <v>1179.3478260869565</v>
      </c>
      <c r="N19" s="132" t="s">
        <v>179</v>
      </c>
    </row>
    <row r="20" spans="2:18" ht="32.25" customHeight="1" outlineLevel="1">
      <c r="B20" s="131" t="s">
        <v>157</v>
      </c>
      <c r="C20" s="13">
        <f>+C19</f>
        <v>0.7</v>
      </c>
      <c r="D20" s="13">
        <f>+D19</f>
        <v>0.30000000000000004</v>
      </c>
      <c r="E20" s="13">
        <f xml:space="preserve"> SUM(C20:D20)</f>
        <v>1</v>
      </c>
      <c r="G20" s="25" t="s">
        <v>16</v>
      </c>
      <c r="H20" s="11"/>
      <c r="I20" s="11"/>
      <c r="J20" s="39">
        <f>+(C12*C19)+(D13*D20)</f>
        <v>2400</v>
      </c>
    </row>
    <row r="21" spans="2:18" outlineLevel="1">
      <c r="G21" s="26"/>
      <c r="H21" s="11"/>
      <c r="I21" s="11"/>
      <c r="J21" s="40"/>
    </row>
    <row r="22" spans="2:18" outlineLevel="1">
      <c r="B22" s="6" t="s">
        <v>11</v>
      </c>
      <c r="C22" s="371" t="s">
        <v>0</v>
      </c>
      <c r="D22" s="371"/>
      <c r="G22" s="25" t="s">
        <v>17</v>
      </c>
      <c r="H22" s="11"/>
      <c r="I22" s="11"/>
      <c r="J22" s="39">
        <f>+J20-J17</f>
        <v>1125</v>
      </c>
    </row>
    <row r="23" spans="2:18" outlineLevel="1">
      <c r="B23" s="129" t="s">
        <v>3</v>
      </c>
      <c r="C23" s="127" t="s">
        <v>2</v>
      </c>
      <c r="D23" s="127" t="s">
        <v>1</v>
      </c>
      <c r="E23" s="7" t="s">
        <v>12</v>
      </c>
      <c r="G23" s="22"/>
      <c r="H23" s="23"/>
      <c r="I23" s="23"/>
      <c r="J23" s="24"/>
    </row>
    <row r="24" spans="2:18" ht="25.5" customHeight="1" outlineLevel="1">
      <c r="B24" s="131" t="s">
        <v>156</v>
      </c>
      <c r="C24" s="128" cm="1">
        <f t="array" ref="C24:D25">C12:D13*C19:D20</f>
        <v>1575</v>
      </c>
      <c r="D24" s="128">
        <v>-300.00000000000006</v>
      </c>
      <c r="E24" s="16">
        <f xml:space="preserve"> SUM(C24:D24)</f>
        <v>1275</v>
      </c>
      <c r="F24" s="134" t="str">
        <f>+B24</f>
        <v>Ice Cream + Tacos</v>
      </c>
    </row>
    <row r="25" spans="2:18" ht="25.5" customHeight="1" outlineLevel="1">
      <c r="B25" s="131" t="s">
        <v>157</v>
      </c>
      <c r="C25" s="128">
        <v>-700</v>
      </c>
      <c r="D25" s="128">
        <v>825.00000000000011</v>
      </c>
      <c r="E25" s="10">
        <f xml:space="preserve"> SUM(C25:D25)</f>
        <v>125.00000000000011</v>
      </c>
      <c r="F25" s="134" t="str">
        <f>+B25</f>
        <v>Coffee + Donuts</v>
      </c>
    </row>
    <row r="26" spans="2:18" ht="25.5" customHeight="1" outlineLevel="1"/>
    <row r="27" spans="2:18" s="145" customFormat="1" ht="5.25" customHeight="1" outlineLevel="1"/>
    <row r="28" spans="2:18" ht="33.75" customHeight="1">
      <c r="B28" s="46" t="s">
        <v>36</v>
      </c>
      <c r="C28" s="46"/>
      <c r="D28" s="46"/>
      <c r="E28" s="46"/>
      <c r="F28" s="46"/>
      <c r="G28" s="46"/>
      <c r="H28" s="46"/>
      <c r="I28" s="46"/>
      <c r="J28" s="46"/>
      <c r="K28" s="46"/>
      <c r="L28" s="46"/>
      <c r="M28" s="46"/>
      <c r="N28" s="46"/>
      <c r="O28" s="46"/>
    </row>
    <row r="29" spans="2:18" ht="15.75" outlineLevel="1">
      <c r="B29" s="126" t="s">
        <v>18</v>
      </c>
    </row>
    <row r="30" spans="2:18" outlineLevel="1">
      <c r="B30" s="5" t="s">
        <v>19</v>
      </c>
    </row>
    <row r="31" spans="2:18" ht="24" customHeight="1" outlineLevel="1">
      <c r="B31" s="6" t="s">
        <v>197</v>
      </c>
    </row>
    <row r="32" spans="2:18" ht="21" customHeight="1" outlineLevel="1">
      <c r="B32" s="129" t="s">
        <v>161</v>
      </c>
      <c r="C32" s="127" t="s">
        <v>24</v>
      </c>
      <c r="D32" s="127" t="s">
        <v>25</v>
      </c>
      <c r="E32" s="15" t="s">
        <v>26</v>
      </c>
    </row>
    <row r="33" spans="2:8" ht="21" customHeight="1" outlineLevel="1">
      <c r="B33" s="131" t="s">
        <v>4</v>
      </c>
      <c r="C33" s="13">
        <v>0.7</v>
      </c>
      <c r="D33" s="13">
        <v>0.3</v>
      </c>
      <c r="E33" s="13">
        <f xml:space="preserve"> SUM(C33:D33)</f>
        <v>1</v>
      </c>
    </row>
    <row r="34" spans="2:8" ht="21" customHeight="1" outlineLevel="1">
      <c r="B34" s="131" t="s">
        <v>5</v>
      </c>
      <c r="C34" s="13">
        <v>0.7</v>
      </c>
      <c r="D34" s="13">
        <v>0.3</v>
      </c>
      <c r="E34" s="13">
        <f xml:space="preserve"> SUM(C34:D34)</f>
        <v>1</v>
      </c>
    </row>
    <row r="35" spans="2:8" outlineLevel="1"/>
    <row r="36" spans="2:8" ht="25.5" customHeight="1" outlineLevel="1">
      <c r="B36" s="6" t="s">
        <v>190</v>
      </c>
    </row>
    <row r="37" spans="2:8" ht="21.75" customHeight="1" outlineLevel="1">
      <c r="B37" s="27" t="s">
        <v>27</v>
      </c>
      <c r="D37" s="12"/>
    </row>
    <row r="38" spans="2:8" outlineLevel="1">
      <c r="B38" s="6"/>
    </row>
    <row r="39" spans="2:8" outlineLevel="1">
      <c r="B39" s="129" t="s">
        <v>21</v>
      </c>
      <c r="C39" s="127" t="s">
        <v>24</v>
      </c>
      <c r="D39" s="127" t="s">
        <v>25</v>
      </c>
      <c r="F39" s="144" t="s">
        <v>189</v>
      </c>
      <c r="G39" s="127" t="s">
        <v>24</v>
      </c>
      <c r="H39" s="127" t="s">
        <v>25</v>
      </c>
    </row>
    <row r="40" spans="2:8" ht="30" outlineLevel="1">
      <c r="B40" s="131" t="s">
        <v>22</v>
      </c>
      <c r="C40" s="13" t="s">
        <v>185</v>
      </c>
      <c r="D40" s="143" t="s">
        <v>186</v>
      </c>
      <c r="F40" s="131" t="s">
        <v>22</v>
      </c>
      <c r="G40" s="13">
        <v>0.9</v>
      </c>
      <c r="H40" s="13">
        <v>0.2</v>
      </c>
    </row>
    <row r="41" spans="2:8" ht="30" outlineLevel="1">
      <c r="B41" s="131" t="s">
        <v>23</v>
      </c>
      <c r="C41" s="143" t="s">
        <v>187</v>
      </c>
      <c r="D41" s="13" t="s">
        <v>188</v>
      </c>
      <c r="F41" s="131" t="s">
        <v>23</v>
      </c>
      <c r="G41" s="13">
        <f>100%-G40</f>
        <v>9.9999999999999978E-2</v>
      </c>
      <c r="H41" s="13">
        <f>100%-H40</f>
        <v>0.8</v>
      </c>
    </row>
    <row r="42" spans="2:8" outlineLevel="1"/>
    <row r="43" spans="2:8" outlineLevel="1"/>
    <row r="44" spans="2:8" outlineLevel="1"/>
    <row r="45" spans="2:8" ht="13.5" customHeight="1" outlineLevel="1"/>
    <row r="46" spans="2:8" ht="15.75" outlineLevel="1">
      <c r="B46" s="6" t="s">
        <v>195</v>
      </c>
      <c r="C46" s="130" t="s">
        <v>185</v>
      </c>
      <c r="D46" s="130" t="s">
        <v>188</v>
      </c>
      <c r="F46" s="126" t="s">
        <v>28</v>
      </c>
    </row>
    <row r="47" spans="2:8" ht="20.25" customHeight="1" outlineLevel="1">
      <c r="B47" s="144"/>
      <c r="C47" s="127" t="s">
        <v>30</v>
      </c>
      <c r="D47" s="127" t="s">
        <v>192</v>
      </c>
      <c r="F47" s="144" t="s">
        <v>21</v>
      </c>
      <c r="G47" s="127" t="s">
        <v>24</v>
      </c>
      <c r="H47" s="127" t="s">
        <v>25</v>
      </c>
    </row>
    <row r="48" spans="2:8" ht="21" customHeight="1" outlineLevel="1">
      <c r="B48" s="131" t="s">
        <v>191</v>
      </c>
      <c r="C48" s="13">
        <f>+C33*G40</f>
        <v>0.63</v>
      </c>
      <c r="D48" s="13">
        <f>+D34*H41</f>
        <v>0.24</v>
      </c>
      <c r="F48" s="131" t="s">
        <v>22</v>
      </c>
      <c r="G48" s="136">
        <f>(C33*G40)/SUMPRODUCT($C$33:$D$33,$G$40:$H$40)</f>
        <v>0.91304347826086962</v>
      </c>
      <c r="H48" s="13">
        <f>100%-G48</f>
        <v>8.6956521739130377E-2</v>
      </c>
    </row>
    <row r="49" spans="2:9" ht="21" customHeight="1" outlineLevel="1">
      <c r="B49" s="131" t="s">
        <v>29</v>
      </c>
      <c r="C49" s="13">
        <f>SUMPRODUCT(C33:D33,G40:H40)</f>
        <v>0.69</v>
      </c>
      <c r="D49" s="13">
        <f>+SUMPRODUCT(C34:D34,G41:H41)</f>
        <v>0.30999999999999994</v>
      </c>
      <c r="F49" s="131" t="s">
        <v>23</v>
      </c>
      <c r="G49" s="13">
        <f>1-H49</f>
        <v>0.22580645161290314</v>
      </c>
      <c r="H49" s="136">
        <f>(D34*H41)/SUMPRODUCT($C$34:$D$34,$G$41:$H$41)</f>
        <v>0.77419354838709686</v>
      </c>
    </row>
    <row r="50" spans="2:9" ht="30" outlineLevel="1">
      <c r="B50" s="147" t="s">
        <v>196</v>
      </c>
      <c r="C50" s="136">
        <f>+C48/C49</f>
        <v>0.91304347826086962</v>
      </c>
      <c r="D50" s="136">
        <f>+D48/D49</f>
        <v>0.77419354838709686</v>
      </c>
    </row>
    <row r="51" spans="2:9" outlineLevel="1"/>
    <row r="52" spans="2:9" outlineLevel="1">
      <c r="B52" s="146" t="s">
        <v>194</v>
      </c>
      <c r="G52" s="4" cm="1">
        <f t="array" ref="G52:H53">C70:D71*C48:D49</f>
        <v>1294.2391304347825</v>
      </c>
      <c r="H52">
        <v>-20.86956521739129</v>
      </c>
    </row>
    <row r="53" spans="2:9" outlineLevel="1">
      <c r="B53" s="146" t="s">
        <v>193</v>
      </c>
      <c r="G53">
        <v>-155.80645161290315</v>
      </c>
      <c r="H53">
        <v>660</v>
      </c>
    </row>
    <row r="54" spans="2:9" outlineLevel="1"/>
    <row r="55" spans="2:9">
      <c r="C55" s="27"/>
    </row>
    <row r="56" spans="2:9" ht="15.75">
      <c r="B56" s="126" t="s">
        <v>198</v>
      </c>
    </row>
    <row r="58" spans="2:9">
      <c r="B58" s="6" t="s">
        <v>10</v>
      </c>
      <c r="C58" s="371" t="s">
        <v>0</v>
      </c>
      <c r="D58" s="371"/>
      <c r="F58" s="6" t="s">
        <v>31</v>
      </c>
    </row>
    <row r="59" spans="2:9" ht="21" customHeight="1">
      <c r="B59" s="129" t="s">
        <v>161</v>
      </c>
      <c r="C59" s="127" t="s">
        <v>2</v>
      </c>
      <c r="D59" s="127" t="s">
        <v>1</v>
      </c>
      <c r="F59" s="144" t="s">
        <v>161</v>
      </c>
      <c r="G59" s="127" t="s">
        <v>24</v>
      </c>
      <c r="H59" s="127" t="s">
        <v>25</v>
      </c>
      <c r="I59" s="14" t="s">
        <v>26</v>
      </c>
    </row>
    <row r="60" spans="2:9" ht="21" customHeight="1">
      <c r="B60" s="131" t="s">
        <v>156</v>
      </c>
      <c r="C60" s="128">
        <v>2250</v>
      </c>
      <c r="D60" s="128">
        <v>-1000</v>
      </c>
      <c r="F60" s="131" t="s">
        <v>156</v>
      </c>
      <c r="G60" s="148" cm="1">
        <f t="array" ref="G60:H60">G48:H48*C60:D60</f>
        <v>2054.3478260869565</v>
      </c>
      <c r="H60" s="148">
        <v>-86.95652173913038</v>
      </c>
      <c r="I60" s="10">
        <f>SUM(_xlfn.ANCHORARRAY(G60))</f>
        <v>1967.391304347826</v>
      </c>
    </row>
    <row r="61" spans="2:9" ht="21" customHeight="1">
      <c r="B61" s="131" t="s">
        <v>157</v>
      </c>
      <c r="C61" s="128">
        <v>-1000</v>
      </c>
      <c r="D61" s="128">
        <v>2750</v>
      </c>
      <c r="F61" s="131" t="s">
        <v>157</v>
      </c>
      <c r="G61" s="148" cm="1">
        <f t="array" ref="G61:H61">G48:H48*C61:D61</f>
        <v>-913.04347826086962</v>
      </c>
      <c r="H61" s="148">
        <v>239.13043478260855</v>
      </c>
      <c r="I61" s="10">
        <f>SUM(G61:H61)</f>
        <v>-673.9130434782611</v>
      </c>
    </row>
    <row r="62" spans="2:9">
      <c r="E62" s="67"/>
    </row>
    <row r="63" spans="2:9">
      <c r="F63" s="6" t="s">
        <v>32</v>
      </c>
    </row>
    <row r="64" spans="2:9">
      <c r="F64" s="144" t="s">
        <v>161</v>
      </c>
      <c r="G64" s="127" t="s">
        <v>24</v>
      </c>
      <c r="H64" s="127" t="s">
        <v>25</v>
      </c>
      <c r="I64" s="14" t="s">
        <v>26</v>
      </c>
    </row>
    <row r="65" spans="2:9" ht="21" customHeight="1">
      <c r="F65" s="131" t="s">
        <v>156</v>
      </c>
      <c r="G65" s="10" cm="1">
        <f t="array" ref="G65:H65">C60:D60*G49:H49</f>
        <v>508.06451612903203</v>
      </c>
      <c r="H65" s="10">
        <v>-774.19354838709683</v>
      </c>
      <c r="I65" s="10">
        <f>SUM(G65:H65)</f>
        <v>-266.1290322580648</v>
      </c>
    </row>
    <row r="66" spans="2:9" ht="21" customHeight="1">
      <c r="F66" s="131" t="s">
        <v>157</v>
      </c>
      <c r="G66" s="10" cm="1">
        <f t="array" ref="G66:H66">C61:D61*G49:H49</f>
        <v>-225.80645161290315</v>
      </c>
      <c r="H66" s="10">
        <v>2129.0322580645166</v>
      </c>
      <c r="I66" s="10">
        <f>SUM(G66:H66)</f>
        <v>1903.2258064516134</v>
      </c>
    </row>
    <row r="67" spans="2:9" ht="21" customHeight="1"/>
    <row r="68" spans="2:9" ht="21" customHeight="1">
      <c r="B68" s="126" t="s">
        <v>199</v>
      </c>
      <c r="C68" s="371" t="s">
        <v>0</v>
      </c>
      <c r="D68" s="371"/>
    </row>
    <row r="69" spans="2:9" ht="21" customHeight="1">
      <c r="B69" s="129" t="s">
        <v>161</v>
      </c>
      <c r="C69" s="127" t="s">
        <v>2</v>
      </c>
      <c r="D69" s="127" t="s">
        <v>1</v>
      </c>
      <c r="E69" s="14" t="s">
        <v>26</v>
      </c>
    </row>
    <row r="70" spans="2:9" ht="21" customHeight="1">
      <c r="B70" s="131" t="s">
        <v>156</v>
      </c>
      <c r="C70" s="10" cm="1">
        <f t="array" ref="C70:D71">C60:D61*G48:H49</f>
        <v>2054.3478260869565</v>
      </c>
      <c r="D70" s="10">
        <v>-86.95652173913038</v>
      </c>
      <c r="E70" s="10">
        <f>SUM(C70:D70)</f>
        <v>1967.391304347826</v>
      </c>
    </row>
    <row r="71" spans="2:9" ht="21" customHeight="1">
      <c r="B71" s="131" t="s">
        <v>157</v>
      </c>
      <c r="C71" s="10">
        <v>-225.80645161290315</v>
      </c>
      <c r="D71" s="10">
        <v>2129.0322580645166</v>
      </c>
      <c r="E71" s="10">
        <f>SUM(C71:D71)</f>
        <v>1903.2258064516134</v>
      </c>
    </row>
    <row r="72" spans="2:9" ht="21" customHeight="1">
      <c r="B72" s="149" t="s">
        <v>200</v>
      </c>
    </row>
    <row r="77" spans="2:9" ht="15.75">
      <c r="B77" s="126" t="s">
        <v>201</v>
      </c>
      <c r="D77" s="370"/>
      <c r="E77" s="370"/>
    </row>
    <row r="78" spans="2:9">
      <c r="B78" s="31" t="s">
        <v>3</v>
      </c>
      <c r="C78" s="150" t="s">
        <v>202</v>
      </c>
      <c r="D78" s="150" t="s">
        <v>203</v>
      </c>
      <c r="E78" s="29" t="s">
        <v>204</v>
      </c>
    </row>
    <row r="79" spans="2:9">
      <c r="B79" s="30" t="s">
        <v>34</v>
      </c>
      <c r="C79" s="2">
        <f>+C49</f>
        <v>0.69</v>
      </c>
      <c r="D79" s="61">
        <f>+E70</f>
        <v>1967.391304347826</v>
      </c>
      <c r="E79" s="32">
        <f>+E70*C49</f>
        <v>1357.4999999999998</v>
      </c>
    </row>
    <row r="80" spans="2:9">
      <c r="B80" s="30" t="s">
        <v>35</v>
      </c>
      <c r="C80" s="2">
        <f>1-C79</f>
        <v>0.31000000000000005</v>
      </c>
      <c r="D80" s="61">
        <f>+E71</f>
        <v>1903.2258064516134</v>
      </c>
      <c r="E80" s="32">
        <f>+(1-C49)*E71</f>
        <v>590.00000000000023</v>
      </c>
    </row>
    <row r="81" spans="2:5">
      <c r="B81" s="19" t="s">
        <v>26</v>
      </c>
      <c r="C81" s="6"/>
      <c r="D81" s="6"/>
      <c r="E81" s="34">
        <f>+E79+E80</f>
        <v>1947.5</v>
      </c>
    </row>
    <row r="82" spans="2:5">
      <c r="B82" s="21"/>
      <c r="E82" s="32"/>
    </row>
    <row r="83" spans="2:5">
      <c r="B83" s="35" t="str">
        <f>"Impact of forecast information on EV Daily Revenue ($"&amp;SUM(E24:E25)&amp;")"</f>
        <v>Impact of forecast information on EV Daily Revenue ($1400)</v>
      </c>
      <c r="C83" s="5"/>
      <c r="D83" s="5"/>
      <c r="E83" s="34">
        <f>E81-SUM(E24:E25)</f>
        <v>547.5</v>
      </c>
    </row>
    <row r="84" spans="2:5">
      <c r="B84" s="35"/>
      <c r="C84" s="5"/>
      <c r="D84" s="5"/>
      <c r="E84" s="34"/>
    </row>
    <row r="85" spans="2:5">
      <c r="B85" s="25" t="s">
        <v>17</v>
      </c>
      <c r="C85" s="5"/>
      <c r="D85" s="5"/>
      <c r="E85" s="34">
        <f>+J20-E81</f>
        <v>452.5</v>
      </c>
    </row>
    <row r="86" spans="2:5">
      <c r="B86" s="22"/>
      <c r="C86" s="23"/>
      <c r="D86" s="23"/>
      <c r="E86" s="33"/>
    </row>
    <row r="89" spans="2:5">
      <c r="B89">
        <f>LN(452.5/1125)</f>
        <v>-0.91075055149853978</v>
      </c>
      <c r="C89">
        <f>1-(452.5/1125)</f>
        <v>0.59777777777777774</v>
      </c>
    </row>
  </sheetData>
  <mergeCells count="8">
    <mergeCell ref="D77:E77"/>
    <mergeCell ref="C5:D5"/>
    <mergeCell ref="C10:D10"/>
    <mergeCell ref="N5:N6"/>
    <mergeCell ref="C17:D17"/>
    <mergeCell ref="C22:D22"/>
    <mergeCell ref="C58:D58"/>
    <mergeCell ref="C68:D68"/>
  </mergeCells>
  <pageMargins left="0.7" right="0.7" top="0.75" bottom="0.75" header="0.3" footer="0.3"/>
  <pageSetup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2C88D-8D41-439B-A569-C93EFACD710A}">
  <sheetPr codeName="Sheet9"/>
  <dimension ref="B1:GV997"/>
  <sheetViews>
    <sheetView showGridLines="0" topLeftCell="B30" zoomScale="145" zoomScaleNormal="145" workbookViewId="0">
      <selection activeCell="F53" sqref="F53"/>
    </sheetView>
  </sheetViews>
  <sheetFormatPr defaultRowHeight="15"/>
  <cols>
    <col min="4" max="4" width="9.28515625" bestFit="1" customWidth="1"/>
    <col min="5" max="5" width="2.28515625" customWidth="1"/>
    <col min="6" max="6" width="3.7109375" customWidth="1"/>
    <col min="7" max="8" width="9.28515625" bestFit="1" customWidth="1"/>
    <col min="9" max="9" width="2.28515625" customWidth="1"/>
    <col min="10" max="10" width="3.7109375" customWidth="1"/>
    <col min="11" max="11" width="11.5703125" bestFit="1" customWidth="1"/>
    <col min="12" max="12" width="9.28515625" bestFit="1" customWidth="1"/>
    <col min="13" max="13" width="2.28515625" customWidth="1"/>
    <col min="14" max="14" width="11.7109375" customWidth="1"/>
  </cols>
  <sheetData>
    <row r="1" spans="2:15" ht="23.25">
      <c r="B1" s="46" t="s">
        <v>205</v>
      </c>
    </row>
    <row r="3" spans="2:15">
      <c r="D3" s="321"/>
      <c r="E3" s="321"/>
      <c r="F3" s="321"/>
      <c r="G3" s="321"/>
      <c r="H3" s="321"/>
      <c r="I3" s="321"/>
      <c r="J3" s="321"/>
      <c r="K3" s="321"/>
      <c r="L3" s="321"/>
      <c r="M3" s="321"/>
      <c r="N3" s="321"/>
      <c r="O3" s="321"/>
    </row>
    <row r="4" spans="2:15">
      <c r="D4" s="321"/>
      <c r="E4" s="321"/>
      <c r="F4" s="321"/>
      <c r="G4" s="321"/>
      <c r="H4" s="321"/>
      <c r="I4" s="321"/>
      <c r="J4" s="321"/>
      <c r="K4" s="322">
        <v>0.5</v>
      </c>
      <c r="L4" s="321"/>
      <c r="M4" s="321"/>
      <c r="N4" s="321"/>
      <c r="O4" s="321"/>
    </row>
    <row r="5" spans="2:15">
      <c r="D5" s="321"/>
      <c r="E5" s="321"/>
      <c r="F5" s="321"/>
      <c r="G5" s="321"/>
      <c r="H5" s="321"/>
      <c r="I5" s="321"/>
      <c r="J5" s="321"/>
      <c r="K5" s="323" t="s">
        <v>2</v>
      </c>
      <c r="L5" s="321"/>
      <c r="M5" s="321"/>
      <c r="N5" s="321"/>
      <c r="O5" s="321"/>
    </row>
    <row r="6" spans="2:15">
      <c r="D6" s="321"/>
      <c r="E6" s="321"/>
      <c r="F6" s="321"/>
      <c r="G6" s="321"/>
      <c r="H6" s="321"/>
      <c r="I6" s="321"/>
      <c r="J6" s="321"/>
      <c r="K6" s="321"/>
      <c r="L6" s="321"/>
      <c r="M6" s="321"/>
      <c r="N6" s="324">
        <f>SUM(G9,K7)</f>
        <v>2750</v>
      </c>
      <c r="O6" s="321"/>
    </row>
    <row r="7" spans="2:15">
      <c r="D7" s="321"/>
      <c r="E7" s="321"/>
      <c r="F7" s="321"/>
      <c r="G7" s="323" t="s">
        <v>74</v>
      </c>
      <c r="H7" s="321"/>
      <c r="I7" s="321"/>
      <c r="J7" s="321"/>
      <c r="K7" s="325">
        <v>2750</v>
      </c>
      <c r="L7" s="321">
        <f>N6</f>
        <v>2750</v>
      </c>
      <c r="M7" s="321"/>
      <c r="N7" s="324"/>
      <c r="O7" s="321"/>
    </row>
    <row r="8" spans="2:15">
      <c r="D8" s="321"/>
      <c r="E8" s="321"/>
      <c r="F8" s="321"/>
      <c r="G8" s="321"/>
      <c r="H8" s="321"/>
      <c r="I8" s="321"/>
      <c r="J8" s="321"/>
      <c r="K8" s="321"/>
      <c r="L8" s="321"/>
      <c r="M8" s="321"/>
      <c r="N8" s="324"/>
      <c r="O8" s="321"/>
    </row>
    <row r="9" spans="2:15">
      <c r="D9" s="321"/>
      <c r="E9" s="321"/>
      <c r="F9" s="321"/>
      <c r="G9" s="325">
        <v>0</v>
      </c>
      <c r="H9" s="324">
        <f>IF(ABS(1-(K4+K9))&lt;=0.00001,K4*L7+K9*L12,NA())</f>
        <v>875</v>
      </c>
      <c r="I9" s="321"/>
      <c r="J9" s="321"/>
      <c r="K9" s="322">
        <v>0.5</v>
      </c>
      <c r="L9" s="321"/>
      <c r="M9" s="321"/>
      <c r="N9" s="324"/>
      <c r="O9" s="321"/>
    </row>
    <row r="10" spans="2:15">
      <c r="D10" s="321"/>
      <c r="E10" s="321"/>
      <c r="F10" s="321"/>
      <c r="G10" s="321"/>
      <c r="H10" s="321"/>
      <c r="I10" s="321"/>
      <c r="J10" s="321"/>
      <c r="K10" s="323" t="s">
        <v>1</v>
      </c>
      <c r="L10" s="321"/>
      <c r="M10" s="321"/>
      <c r="N10" s="324"/>
      <c r="O10" s="321"/>
    </row>
    <row r="11" spans="2:15">
      <c r="D11" s="321"/>
      <c r="E11" s="321"/>
      <c r="F11" s="321"/>
      <c r="G11" s="321"/>
      <c r="H11" s="321"/>
      <c r="I11" s="321"/>
      <c r="J11" s="321"/>
      <c r="K11" s="321"/>
      <c r="L11" s="321"/>
      <c r="M11" s="321"/>
      <c r="N11" s="324">
        <f>SUM(G9,K12)</f>
        <v>-1000</v>
      </c>
      <c r="O11" s="321"/>
    </row>
    <row r="12" spans="2:15">
      <c r="D12" s="321"/>
      <c r="E12" s="321"/>
      <c r="F12" s="321"/>
      <c r="G12" s="321"/>
      <c r="H12" s="321"/>
      <c r="I12" s="321"/>
      <c r="J12" s="321"/>
      <c r="K12" s="325">
        <v>-1000</v>
      </c>
      <c r="L12" s="321">
        <f>N11</f>
        <v>-1000</v>
      </c>
      <c r="M12" s="321"/>
      <c r="N12" s="324"/>
      <c r="O12" s="321"/>
    </row>
    <row r="13" spans="2:15">
      <c r="D13" s="321"/>
      <c r="E13" s="321">
        <f>IF(D14=H9,1,IF(D14=H19,2))</f>
        <v>1</v>
      </c>
      <c r="F13" s="321"/>
      <c r="G13" s="321"/>
      <c r="H13" s="321"/>
      <c r="I13" s="321"/>
      <c r="J13" s="321"/>
      <c r="K13" s="321"/>
      <c r="L13" s="321"/>
      <c r="M13" s="321"/>
      <c r="N13" s="324"/>
      <c r="O13" s="321"/>
    </row>
    <row r="14" spans="2:15">
      <c r="D14" s="324">
        <f>MAX(H9,H19)</f>
        <v>875</v>
      </c>
      <c r="E14" s="321"/>
      <c r="F14" s="321"/>
      <c r="G14" s="321"/>
      <c r="H14" s="321"/>
      <c r="I14" s="321"/>
      <c r="J14" s="321"/>
      <c r="K14" s="322">
        <v>0.5</v>
      </c>
      <c r="L14" s="321"/>
      <c r="M14" s="321"/>
      <c r="N14" s="324"/>
      <c r="O14" s="321"/>
    </row>
    <row r="15" spans="2:15">
      <c r="D15" s="321"/>
      <c r="E15" s="321"/>
      <c r="F15" s="321"/>
      <c r="G15" s="321"/>
      <c r="H15" s="321"/>
      <c r="I15" s="321"/>
      <c r="J15" s="321"/>
      <c r="K15" s="323" t="s">
        <v>2</v>
      </c>
      <c r="L15" s="321"/>
      <c r="M15" s="321"/>
      <c r="N15" s="324"/>
      <c r="O15" s="321"/>
    </row>
    <row r="16" spans="2:15">
      <c r="D16" s="321"/>
      <c r="E16" s="321"/>
      <c r="F16" s="321"/>
      <c r="G16" s="321"/>
      <c r="H16" s="321"/>
      <c r="I16" s="321"/>
      <c r="J16" s="321"/>
      <c r="K16" s="321"/>
      <c r="L16" s="321"/>
      <c r="M16" s="321"/>
      <c r="N16" s="324">
        <f>SUM(G19,K17)</f>
        <v>2250</v>
      </c>
      <c r="O16" s="321"/>
    </row>
    <row r="17" spans="4:15">
      <c r="D17" s="321"/>
      <c r="E17" s="321"/>
      <c r="F17" s="321"/>
      <c r="G17" s="323" t="s">
        <v>54</v>
      </c>
      <c r="H17" s="321"/>
      <c r="I17" s="321"/>
      <c r="J17" s="321"/>
      <c r="K17" s="325">
        <v>2250</v>
      </c>
      <c r="L17" s="321">
        <f>N16</f>
        <v>2250</v>
      </c>
      <c r="M17" s="321"/>
      <c r="N17" s="324"/>
      <c r="O17" s="321"/>
    </row>
    <row r="18" spans="4:15">
      <c r="D18" s="321"/>
      <c r="E18" s="321"/>
      <c r="F18" s="321"/>
      <c r="G18" s="321"/>
      <c r="H18" s="321"/>
      <c r="I18" s="321"/>
      <c r="J18" s="321"/>
      <c r="K18" s="321"/>
      <c r="L18" s="321"/>
      <c r="M18" s="321"/>
      <c r="N18" s="324"/>
      <c r="O18" s="321"/>
    </row>
    <row r="19" spans="4:15">
      <c r="D19" s="321"/>
      <c r="E19" s="321"/>
      <c r="F19" s="321"/>
      <c r="G19" s="325">
        <v>0</v>
      </c>
      <c r="H19" s="324">
        <f>IF(ABS(1-(K14+K19))&lt;=0.00001,K14*L17+K19*L22,NA())</f>
        <v>625</v>
      </c>
      <c r="I19" s="321"/>
      <c r="J19" s="321"/>
      <c r="K19" s="322">
        <v>0.5</v>
      </c>
      <c r="L19" s="321"/>
      <c r="M19" s="321"/>
      <c r="N19" s="324"/>
      <c r="O19" s="321"/>
    </row>
    <row r="20" spans="4:15">
      <c r="D20" s="321"/>
      <c r="E20" s="321"/>
      <c r="F20" s="321"/>
      <c r="G20" s="321"/>
      <c r="H20" s="321"/>
      <c r="I20" s="321"/>
      <c r="J20" s="321"/>
      <c r="K20" s="323" t="s">
        <v>1</v>
      </c>
      <c r="L20" s="321"/>
      <c r="M20" s="321"/>
      <c r="N20" s="324"/>
      <c r="O20" s="321"/>
    </row>
    <row r="21" spans="4:15">
      <c r="D21" s="321"/>
      <c r="E21" s="321"/>
      <c r="F21" s="321"/>
      <c r="G21" s="321"/>
      <c r="H21" s="321"/>
      <c r="I21" s="321"/>
      <c r="J21" s="321"/>
      <c r="K21" s="321"/>
      <c r="L21" s="321"/>
      <c r="M21" s="321"/>
      <c r="N21" s="324">
        <f>SUM(G19,K22)</f>
        <v>-1000</v>
      </c>
      <c r="O21" s="321"/>
    </row>
    <row r="22" spans="4:15">
      <c r="D22" s="321"/>
      <c r="E22" s="321"/>
      <c r="F22" s="321"/>
      <c r="G22" s="321"/>
      <c r="H22" s="321"/>
      <c r="I22" s="321"/>
      <c r="J22" s="321"/>
      <c r="K22" s="325">
        <v>-1000</v>
      </c>
      <c r="L22" s="321">
        <f>N21</f>
        <v>-1000</v>
      </c>
      <c r="M22" s="321"/>
      <c r="N22" s="321"/>
      <c r="O22" s="321"/>
    </row>
    <row r="23" spans="4:15">
      <c r="D23" s="321"/>
      <c r="E23" s="321"/>
      <c r="F23" s="321"/>
      <c r="G23" s="321"/>
      <c r="H23" s="321"/>
      <c r="I23" s="321"/>
      <c r="J23" s="321"/>
      <c r="K23" s="321"/>
      <c r="L23" s="321"/>
      <c r="M23" s="321"/>
      <c r="N23" s="321"/>
      <c r="O23" s="321"/>
    </row>
    <row r="990" spans="189:204">
      <c r="GH990" s="44" t="s">
        <v>55</v>
      </c>
      <c r="GI990" s="44" t="s">
        <v>56</v>
      </c>
      <c r="GJ990" s="44" t="s">
        <v>57</v>
      </c>
      <c r="GK990" s="44" t="s">
        <v>58</v>
      </c>
      <c r="GL990" s="44" t="s">
        <v>59</v>
      </c>
      <c r="GM990" s="44" t="s">
        <v>60</v>
      </c>
      <c r="GN990" s="44" t="s">
        <v>61</v>
      </c>
      <c r="GO990" s="44" t="s">
        <v>62</v>
      </c>
      <c r="GP990" s="44" t="s">
        <v>63</v>
      </c>
      <c r="GQ990" s="44" t="s">
        <v>64</v>
      </c>
      <c r="GR990" s="44" t="s">
        <v>65</v>
      </c>
      <c r="GS990" s="44" t="s">
        <v>66</v>
      </c>
      <c r="GT990" s="44" t="s">
        <v>67</v>
      </c>
      <c r="GU990" s="44" t="s">
        <v>68</v>
      </c>
      <c r="GV990" s="44" t="s">
        <v>69</v>
      </c>
    </row>
    <row r="991" spans="189:204">
      <c r="GG991">
        <v>0</v>
      </c>
      <c r="GH991" s="44">
        <v>0</v>
      </c>
      <c r="GI991" s="44" t="s">
        <v>70</v>
      </c>
      <c r="GJ991" s="44">
        <v>0</v>
      </c>
      <c r="GK991" s="44">
        <v>0</v>
      </c>
      <c r="GL991" s="44">
        <v>0</v>
      </c>
      <c r="GM991" s="44" t="s">
        <v>71</v>
      </c>
      <c r="GN991" s="44">
        <v>2</v>
      </c>
      <c r="GO991" s="44">
        <v>1</v>
      </c>
      <c r="GP991" s="44">
        <v>2</v>
      </c>
      <c r="GQ991" s="44">
        <v>0</v>
      </c>
      <c r="GR991" s="44">
        <v>0</v>
      </c>
      <c r="GS991" s="44">
        <v>0</v>
      </c>
      <c r="GT991" s="45">
        <v>9</v>
      </c>
      <c r="GU991" s="45">
        <v>1</v>
      </c>
      <c r="GV991" s="45" t="b">
        <v>1</v>
      </c>
    </row>
    <row r="992" spans="189:204">
      <c r="GG992">
        <v>2</v>
      </c>
      <c r="GH992" s="44">
        <v>1</v>
      </c>
      <c r="GK992">
        <v>0</v>
      </c>
      <c r="GL992" s="44">
        <v>0</v>
      </c>
      <c r="GM992" s="44" t="s">
        <v>72</v>
      </c>
      <c r="GN992" s="44">
        <v>2</v>
      </c>
      <c r="GO992" s="44">
        <v>3</v>
      </c>
      <c r="GP992" s="44">
        <v>4</v>
      </c>
      <c r="GQ992" s="44">
        <v>0</v>
      </c>
      <c r="GR992" s="44">
        <v>0</v>
      </c>
      <c r="GS992" s="44">
        <v>0</v>
      </c>
      <c r="GT992" s="45">
        <v>4</v>
      </c>
      <c r="GU992" s="45">
        <v>5</v>
      </c>
      <c r="GV992" s="45" t="b">
        <v>1</v>
      </c>
    </row>
    <row r="993" spans="189:204">
      <c r="GG993">
        <v>0</v>
      </c>
      <c r="GH993" s="44">
        <v>2</v>
      </c>
      <c r="GK993">
        <v>0</v>
      </c>
      <c r="GL993" s="44">
        <v>0</v>
      </c>
      <c r="GM993" s="44" t="s">
        <v>72</v>
      </c>
      <c r="GN993" s="44">
        <v>2</v>
      </c>
      <c r="GO993">
        <v>5</v>
      </c>
      <c r="GP993">
        <v>6</v>
      </c>
      <c r="GQ993" s="44">
        <v>0</v>
      </c>
      <c r="GR993" s="44">
        <v>0</v>
      </c>
      <c r="GS993" s="44">
        <v>0</v>
      </c>
      <c r="GT993" s="45">
        <v>14</v>
      </c>
      <c r="GU993" s="45">
        <v>5</v>
      </c>
      <c r="GV993" s="45" t="b">
        <v>1</v>
      </c>
    </row>
    <row r="994" spans="189:204">
      <c r="GG994">
        <v>5</v>
      </c>
      <c r="GH994">
        <v>3</v>
      </c>
      <c r="GL994">
        <v>1</v>
      </c>
      <c r="GM994" t="s">
        <v>73</v>
      </c>
      <c r="GN994">
        <v>0</v>
      </c>
      <c r="GO994">
        <v>0</v>
      </c>
      <c r="GP994">
        <v>0</v>
      </c>
      <c r="GQ994">
        <v>0</v>
      </c>
      <c r="GR994">
        <v>0</v>
      </c>
      <c r="GS994">
        <v>0</v>
      </c>
      <c r="GT994">
        <v>2</v>
      </c>
      <c r="GU994">
        <v>9</v>
      </c>
      <c r="GV994" t="b">
        <v>1</v>
      </c>
    </row>
    <row r="995" spans="189:204">
      <c r="GG995">
        <v>6</v>
      </c>
      <c r="GH995">
        <v>4</v>
      </c>
      <c r="GL995">
        <v>1</v>
      </c>
      <c r="GM995" t="s">
        <v>73</v>
      </c>
      <c r="GN995">
        <v>0</v>
      </c>
      <c r="GO995">
        <v>0</v>
      </c>
      <c r="GP995">
        <v>0</v>
      </c>
      <c r="GQ995">
        <v>0</v>
      </c>
      <c r="GR995">
        <v>0</v>
      </c>
      <c r="GS995">
        <v>0</v>
      </c>
      <c r="GT995">
        <v>7</v>
      </c>
      <c r="GU995">
        <v>9</v>
      </c>
      <c r="GV995" t="b">
        <v>1</v>
      </c>
    </row>
    <row r="996" spans="189:204">
      <c r="GH996">
        <v>5</v>
      </c>
      <c r="GL996">
        <v>2</v>
      </c>
      <c r="GM996" t="s">
        <v>73</v>
      </c>
      <c r="GN996">
        <v>0</v>
      </c>
      <c r="GO996">
        <v>0</v>
      </c>
      <c r="GP996">
        <v>0</v>
      </c>
      <c r="GQ996">
        <v>0</v>
      </c>
      <c r="GR996">
        <v>0</v>
      </c>
      <c r="GS996">
        <v>0</v>
      </c>
      <c r="GT996">
        <v>12</v>
      </c>
      <c r="GU996">
        <v>9</v>
      </c>
      <c r="GV996" t="b">
        <v>1</v>
      </c>
    </row>
    <row r="997" spans="189:204">
      <c r="GH997">
        <v>6</v>
      </c>
      <c r="GL997">
        <v>2</v>
      </c>
      <c r="GM997" t="s">
        <v>73</v>
      </c>
      <c r="GN997">
        <v>0</v>
      </c>
      <c r="GO997">
        <v>0</v>
      </c>
      <c r="GP997">
        <v>0</v>
      </c>
      <c r="GQ997">
        <v>0</v>
      </c>
      <c r="GR997">
        <v>0</v>
      </c>
      <c r="GS997">
        <v>0</v>
      </c>
      <c r="GT997">
        <v>17</v>
      </c>
      <c r="GU997">
        <v>9</v>
      </c>
      <c r="GV997" t="b">
        <v>1</v>
      </c>
    </row>
  </sheetData>
  <pageMargins left="0.7" right="0.7" top="0.75" bottom="0.75" header="0.3" footer="0.3"/>
  <pageSetup scale="150" fitToHeight="0"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7D7F5-63DC-4C8B-BCB9-565306BA8449}">
  <sheetPr codeName="Sheet16"/>
  <dimension ref="A1:GP1007"/>
  <sheetViews>
    <sheetView showGridLines="0" topLeftCell="A24" zoomScaleNormal="100" workbookViewId="0">
      <selection activeCell="B4" sqref="B4:P42"/>
    </sheetView>
  </sheetViews>
  <sheetFormatPr defaultRowHeight="15"/>
  <cols>
    <col min="2" max="2" width="14" bestFit="1" customWidth="1"/>
    <col min="3" max="3" width="2.28515625" customWidth="1"/>
    <col min="4" max="4" width="3.7109375" customWidth="1"/>
    <col min="5" max="5" width="9.5703125" bestFit="1" customWidth="1"/>
    <col min="6" max="6" width="9.28515625" bestFit="1" customWidth="1"/>
    <col min="7" max="7" width="2.28515625" customWidth="1"/>
    <col min="8" max="8" width="3.7109375" customWidth="1"/>
    <col min="9" max="9" width="9.28515625" bestFit="1" customWidth="1"/>
    <col min="10" max="10" width="9.5703125" bestFit="1" customWidth="1"/>
    <col min="11" max="11" width="2.28515625" customWidth="1"/>
    <col min="12" max="12" width="3.7109375" customWidth="1"/>
    <col min="13" max="14" width="9.5703125" bestFit="1" customWidth="1"/>
    <col min="15" max="15" width="2.28515625" customWidth="1"/>
    <col min="16" max="16" width="9.5703125" bestFit="1" customWidth="1"/>
  </cols>
  <sheetData>
    <row r="1" spans="1:16" ht="26.25">
      <c r="A1" s="125" t="s">
        <v>155</v>
      </c>
    </row>
    <row r="4" spans="1:16">
      <c r="B4" s="321"/>
      <c r="C4" s="321"/>
      <c r="D4" s="321"/>
      <c r="E4" s="321"/>
      <c r="F4" s="321"/>
      <c r="G4" s="321"/>
      <c r="H4" s="321"/>
      <c r="I4" s="321"/>
      <c r="J4" s="321"/>
      <c r="K4" s="321"/>
      <c r="L4" s="321"/>
      <c r="M4" s="326">
        <v>0.5</v>
      </c>
      <c r="N4" s="321"/>
      <c r="O4" s="321"/>
      <c r="P4" s="321"/>
    </row>
    <row r="5" spans="1:16">
      <c r="B5" s="321"/>
      <c r="C5" s="321"/>
      <c r="D5" s="321"/>
      <c r="E5" s="321"/>
      <c r="F5" s="321"/>
      <c r="G5" s="321"/>
      <c r="H5" s="321"/>
      <c r="I5" s="321"/>
      <c r="J5" s="321"/>
      <c r="K5" s="321"/>
      <c r="L5" s="321"/>
      <c r="M5" s="321" t="s">
        <v>116</v>
      </c>
      <c r="N5" s="321"/>
      <c r="O5" s="321"/>
      <c r="P5" s="321"/>
    </row>
    <row r="6" spans="1:16">
      <c r="B6" s="321"/>
      <c r="C6" s="321"/>
      <c r="D6" s="321"/>
      <c r="E6" s="321"/>
      <c r="F6" s="321"/>
      <c r="G6" s="321"/>
      <c r="H6" s="321"/>
      <c r="I6" s="321"/>
      <c r="J6" s="321"/>
      <c r="K6" s="321"/>
      <c r="L6" s="321"/>
      <c r="M6" s="321"/>
      <c r="N6" s="321"/>
      <c r="O6" s="321"/>
      <c r="P6" s="327">
        <f>SUM(E13,I9,M7)</f>
        <v>-50000</v>
      </c>
    </row>
    <row r="7" spans="1:16">
      <c r="B7" s="321"/>
      <c r="C7" s="321"/>
      <c r="D7" s="321"/>
      <c r="E7" s="321"/>
      <c r="F7" s="321"/>
      <c r="G7" s="321"/>
      <c r="H7" s="321"/>
      <c r="I7" s="331" t="s">
        <v>114</v>
      </c>
      <c r="J7" s="321"/>
      <c r="K7" s="321"/>
      <c r="L7" s="321"/>
      <c r="M7" s="328">
        <v>-10000</v>
      </c>
      <c r="N7" s="327">
        <f>P6</f>
        <v>-50000</v>
      </c>
      <c r="O7" s="321"/>
      <c r="P7" s="321"/>
    </row>
    <row r="8" spans="1:16">
      <c r="B8" s="321"/>
      <c r="C8" s="321"/>
      <c r="D8" s="321"/>
      <c r="E8" s="321"/>
      <c r="F8" s="321"/>
      <c r="G8" s="321"/>
      <c r="H8" s="321"/>
      <c r="I8" s="321"/>
      <c r="J8" s="321"/>
      <c r="K8" s="321"/>
      <c r="L8" s="321"/>
      <c r="M8" s="321"/>
      <c r="N8" s="321"/>
      <c r="O8" s="321"/>
      <c r="P8" s="321"/>
    </row>
    <row r="9" spans="1:16">
      <c r="B9" s="321"/>
      <c r="C9" s="321"/>
      <c r="D9" s="321"/>
      <c r="E9" s="321"/>
      <c r="F9" s="321"/>
      <c r="G9" s="321"/>
      <c r="H9" s="321"/>
      <c r="I9" s="328">
        <v>0</v>
      </c>
      <c r="J9" s="321">
        <f>IF(ABS(1-(M4+M9))&lt;=0.00001,M4*N7+M9*N12,NA())</f>
        <v>-46000</v>
      </c>
      <c r="K9" s="321"/>
      <c r="L9" s="321"/>
      <c r="M9" s="326">
        <v>0.5</v>
      </c>
      <c r="N9" s="321"/>
      <c r="O9" s="321"/>
      <c r="P9" s="321"/>
    </row>
    <row r="10" spans="1:16">
      <c r="B10" s="321"/>
      <c r="C10" s="321"/>
      <c r="D10" s="321"/>
      <c r="E10" s="321"/>
      <c r="F10" s="321"/>
      <c r="G10" s="321"/>
      <c r="H10" s="321"/>
      <c r="I10" s="321"/>
      <c r="J10" s="321"/>
      <c r="K10" s="321"/>
      <c r="L10" s="321"/>
      <c r="M10" s="321" t="s">
        <v>121</v>
      </c>
      <c r="N10" s="321"/>
      <c r="O10" s="321"/>
      <c r="P10" s="321"/>
    </row>
    <row r="11" spans="1:16">
      <c r="B11" s="321"/>
      <c r="C11" s="321"/>
      <c r="D11" s="321"/>
      <c r="E11" s="331" t="s">
        <v>118</v>
      </c>
      <c r="F11" s="321"/>
      <c r="G11" s="321"/>
      <c r="H11" s="321"/>
      <c r="I11" s="321"/>
      <c r="J11" s="321"/>
      <c r="K11" s="321"/>
      <c r="L11" s="321"/>
      <c r="M11" s="321"/>
      <c r="N11" s="321"/>
      <c r="O11" s="321"/>
      <c r="P11" s="327">
        <f>SUM(E13,I9,M12)</f>
        <v>-42000</v>
      </c>
    </row>
    <row r="12" spans="1:16">
      <c r="B12" s="321"/>
      <c r="C12" s="321"/>
      <c r="D12" s="321"/>
      <c r="E12" s="321"/>
      <c r="F12" s="321"/>
      <c r="G12" s="321">
        <f>IF(F13=J9,1,IF(F13=J17,2))</f>
        <v>2</v>
      </c>
      <c r="H12" s="321"/>
      <c r="I12" s="321"/>
      <c r="J12" s="321"/>
      <c r="K12" s="321"/>
      <c r="L12" s="321"/>
      <c r="M12" s="328">
        <v>-2000</v>
      </c>
      <c r="N12" s="327">
        <f>P11</f>
        <v>-42000</v>
      </c>
      <c r="O12" s="321"/>
      <c r="P12" s="321"/>
    </row>
    <row r="13" spans="1:16">
      <c r="B13" s="321"/>
      <c r="C13" s="321"/>
      <c r="D13" s="321"/>
      <c r="E13" s="328">
        <v>-40000</v>
      </c>
      <c r="F13" s="321">
        <f>MAX(J9,J17)</f>
        <v>-45000</v>
      </c>
      <c r="G13" s="321"/>
      <c r="H13" s="321"/>
      <c r="I13" s="321"/>
      <c r="J13" s="321"/>
      <c r="K13" s="321"/>
      <c r="L13" s="321"/>
      <c r="M13" s="321"/>
      <c r="N13" s="321"/>
      <c r="O13" s="321"/>
      <c r="P13" s="321"/>
    </row>
    <row r="14" spans="1:16">
      <c r="B14" s="321"/>
      <c r="C14" s="321"/>
      <c r="D14" s="321"/>
      <c r="E14" s="321"/>
      <c r="F14" s="321"/>
      <c r="G14" s="321"/>
      <c r="H14" s="321"/>
      <c r="I14" s="321"/>
      <c r="J14" s="321"/>
      <c r="K14" s="321"/>
      <c r="L14" s="321"/>
      <c r="M14" s="321"/>
      <c r="N14" s="321"/>
      <c r="O14" s="321"/>
      <c r="P14" s="321"/>
    </row>
    <row r="15" spans="1:16">
      <c r="B15" s="321"/>
      <c r="C15" s="321"/>
      <c r="D15" s="321"/>
      <c r="E15" s="321"/>
      <c r="F15" s="321"/>
      <c r="G15" s="321"/>
      <c r="H15" s="321"/>
      <c r="I15" s="331" t="s">
        <v>115</v>
      </c>
      <c r="J15" s="321"/>
      <c r="K15" s="321"/>
      <c r="L15" s="321"/>
      <c r="M15" s="321"/>
      <c r="N15" s="321"/>
      <c r="O15" s="321"/>
      <c r="P15" s="321"/>
    </row>
    <row r="16" spans="1:16">
      <c r="B16" s="321"/>
      <c r="C16" s="321"/>
      <c r="D16" s="321"/>
      <c r="E16" s="321"/>
      <c r="F16" s="321"/>
      <c r="G16" s="321"/>
      <c r="H16" s="321"/>
      <c r="I16" s="321"/>
      <c r="J16" s="321"/>
      <c r="K16" s="321"/>
      <c r="L16" s="321"/>
      <c r="M16" s="321"/>
      <c r="N16" s="321"/>
      <c r="O16" s="321"/>
      <c r="P16" s="327">
        <f>SUM(E13,I17)</f>
        <v>-45000</v>
      </c>
    </row>
    <row r="17" spans="2:16">
      <c r="B17" s="321"/>
      <c r="C17" s="321"/>
      <c r="D17" s="321"/>
      <c r="E17" s="321"/>
      <c r="F17" s="321"/>
      <c r="G17" s="321"/>
      <c r="H17" s="321"/>
      <c r="I17" s="328">
        <v>-5000</v>
      </c>
      <c r="J17" s="327">
        <f>P16</f>
        <v>-45000</v>
      </c>
      <c r="K17" s="321"/>
      <c r="L17" s="321"/>
      <c r="M17" s="321"/>
      <c r="N17" s="321"/>
      <c r="O17" s="321"/>
      <c r="P17" s="321"/>
    </row>
    <row r="18" spans="2:16">
      <c r="B18" s="321"/>
      <c r="C18" s="321"/>
      <c r="D18" s="321"/>
      <c r="E18" s="321"/>
      <c r="F18" s="321"/>
      <c r="G18" s="321"/>
      <c r="H18" s="321"/>
      <c r="I18" s="321"/>
      <c r="J18" s="321"/>
      <c r="K18" s="321"/>
      <c r="L18" s="321"/>
      <c r="M18" s="321"/>
      <c r="N18" s="321"/>
      <c r="O18" s="321"/>
      <c r="P18" s="321"/>
    </row>
    <row r="19" spans="2:16">
      <c r="B19" s="331" t="s">
        <v>123</v>
      </c>
      <c r="C19" s="321"/>
      <c r="D19" s="321"/>
      <c r="E19" s="321"/>
      <c r="F19" s="321"/>
      <c r="G19" s="321"/>
      <c r="H19" s="321"/>
      <c r="I19" s="321"/>
      <c r="J19" s="321"/>
      <c r="K19" s="321"/>
      <c r="L19" s="321"/>
      <c r="M19" s="326">
        <v>0.3</v>
      </c>
      <c r="N19" s="321"/>
      <c r="O19" s="321"/>
      <c r="P19" s="321"/>
    </row>
    <row r="20" spans="2:16">
      <c r="B20" s="321"/>
      <c r="C20" s="321">
        <f>IF(B21=F13,1,IF(B21=F30,2))</f>
        <v>2</v>
      </c>
      <c r="D20" s="321"/>
      <c r="E20" s="321"/>
      <c r="F20" s="321"/>
      <c r="G20" s="321"/>
      <c r="H20" s="321"/>
      <c r="I20" s="321"/>
      <c r="J20" s="321"/>
      <c r="K20" s="321"/>
      <c r="L20" s="321"/>
      <c r="M20" s="321" t="s">
        <v>116</v>
      </c>
      <c r="N20" s="321"/>
      <c r="O20" s="321"/>
      <c r="P20" s="321"/>
    </row>
    <row r="21" spans="2:16">
      <c r="B21" s="329">
        <f>MAX(F13,F30)</f>
        <v>-36150</v>
      </c>
      <c r="C21" s="321"/>
      <c r="D21" s="321"/>
      <c r="E21" s="321"/>
      <c r="F21" s="321"/>
      <c r="G21" s="321"/>
      <c r="H21" s="321"/>
      <c r="I21" s="321"/>
      <c r="J21" s="321"/>
      <c r="K21" s="321"/>
      <c r="L21" s="321"/>
      <c r="M21" s="321"/>
      <c r="N21" s="321"/>
      <c r="O21" s="321"/>
      <c r="P21" s="327">
        <f>SUM(E30,I24,M22)</f>
        <v>-42500</v>
      </c>
    </row>
    <row r="22" spans="2:16">
      <c r="B22" s="321"/>
      <c r="C22" s="321"/>
      <c r="D22" s="321"/>
      <c r="E22" s="321"/>
      <c r="F22" s="321"/>
      <c r="G22" s="321"/>
      <c r="H22" s="321"/>
      <c r="I22" s="331" t="s">
        <v>117</v>
      </c>
      <c r="J22" s="321"/>
      <c r="K22" s="321"/>
      <c r="L22" s="321"/>
      <c r="M22" s="328">
        <v>-12500</v>
      </c>
      <c r="N22" s="327">
        <f>P21</f>
        <v>-42500</v>
      </c>
      <c r="O22" s="321"/>
      <c r="P22" s="321"/>
    </row>
    <row r="23" spans="2:16">
      <c r="B23" s="321"/>
      <c r="C23" s="321"/>
      <c r="D23" s="321"/>
      <c r="E23" s="321"/>
      <c r="F23" s="321"/>
      <c r="G23" s="321"/>
      <c r="H23" s="321"/>
      <c r="I23" s="321"/>
      <c r="J23" s="321"/>
      <c r="K23" s="321"/>
      <c r="L23" s="321"/>
      <c r="M23" s="321"/>
      <c r="N23" s="321"/>
      <c r="O23" s="321"/>
      <c r="P23" s="321"/>
    </row>
    <row r="24" spans="2:16">
      <c r="B24" s="321"/>
      <c r="C24" s="321"/>
      <c r="D24" s="321"/>
      <c r="E24" s="321"/>
      <c r="F24" s="321"/>
      <c r="G24" s="321"/>
      <c r="H24" s="321"/>
      <c r="I24" s="328">
        <v>-5000</v>
      </c>
      <c r="J24" s="321">
        <f>IF(ABS(1-(M19+M24))&lt;=0.00001,M19*N22+M24*N27,NA())</f>
        <v>-37250</v>
      </c>
      <c r="K24" s="321"/>
      <c r="L24" s="321"/>
      <c r="M24" s="326">
        <v>0.7</v>
      </c>
      <c r="N24" s="321"/>
      <c r="O24" s="321"/>
      <c r="P24" s="321"/>
    </row>
    <row r="25" spans="2:16">
      <c r="B25" s="321"/>
      <c r="C25" s="321"/>
      <c r="D25" s="321"/>
      <c r="E25" s="321"/>
      <c r="F25" s="321"/>
      <c r="G25" s="321"/>
      <c r="H25" s="321"/>
      <c r="I25" s="321"/>
      <c r="J25" s="321"/>
      <c r="K25" s="321"/>
      <c r="L25" s="321"/>
      <c r="M25" s="321" t="s">
        <v>121</v>
      </c>
      <c r="N25" s="321"/>
      <c r="O25" s="321"/>
      <c r="P25" s="321"/>
    </row>
    <row r="26" spans="2:16">
      <c r="B26" s="321"/>
      <c r="C26" s="321"/>
      <c r="D26" s="321"/>
      <c r="E26" s="321"/>
      <c r="F26" s="321"/>
      <c r="G26" s="321"/>
      <c r="H26" s="321"/>
      <c r="I26" s="321"/>
      <c r="J26" s="321"/>
      <c r="K26" s="321"/>
      <c r="L26" s="321"/>
      <c r="M26" s="321"/>
      <c r="N26" s="321"/>
      <c r="O26" s="321"/>
      <c r="P26" s="327">
        <f>SUM(E30,I24,M27)</f>
        <v>-35000</v>
      </c>
    </row>
    <row r="27" spans="2:16">
      <c r="B27" s="321"/>
      <c r="C27" s="321"/>
      <c r="D27" s="321"/>
      <c r="E27" s="321"/>
      <c r="F27" s="321"/>
      <c r="G27" s="321"/>
      <c r="H27" s="321"/>
      <c r="I27" s="321"/>
      <c r="J27" s="321"/>
      <c r="K27" s="321"/>
      <c r="L27" s="321"/>
      <c r="M27" s="328">
        <v>-5000</v>
      </c>
      <c r="N27" s="327">
        <f>P26</f>
        <v>-35000</v>
      </c>
      <c r="O27" s="321"/>
      <c r="P27" s="321"/>
    </row>
    <row r="28" spans="2:16">
      <c r="B28" s="321"/>
      <c r="C28" s="321"/>
      <c r="D28" s="321"/>
      <c r="E28" s="331" t="s">
        <v>119</v>
      </c>
      <c r="F28" s="321"/>
      <c r="G28" s="321"/>
      <c r="H28" s="321"/>
      <c r="I28" s="321"/>
      <c r="J28" s="321"/>
      <c r="K28" s="321"/>
      <c r="L28" s="321"/>
      <c r="M28" s="321"/>
      <c r="N28" s="321"/>
      <c r="O28" s="321"/>
      <c r="P28" s="321"/>
    </row>
    <row r="29" spans="2:16">
      <c r="B29" s="321"/>
      <c r="C29" s="321"/>
      <c r="D29" s="321"/>
      <c r="E29" s="321"/>
      <c r="F29" s="321"/>
      <c r="G29" s="321">
        <f>IF(F30=J24,1,IF(F30=J37,2))</f>
        <v>2</v>
      </c>
      <c r="H29" s="321"/>
      <c r="I29" s="321"/>
      <c r="J29" s="321"/>
      <c r="K29" s="321"/>
      <c r="L29" s="321"/>
      <c r="M29" s="326">
        <v>0.3</v>
      </c>
      <c r="N29" s="321"/>
      <c r="O29" s="321"/>
      <c r="P29" s="321"/>
    </row>
    <row r="30" spans="2:16">
      <c r="B30" s="321"/>
      <c r="C30" s="321"/>
      <c r="D30" s="321"/>
      <c r="E30" s="328">
        <v>-25000</v>
      </c>
      <c r="F30" s="321">
        <f>MAX(J24,J37)</f>
        <v>-36150</v>
      </c>
      <c r="G30" s="321"/>
      <c r="H30" s="321"/>
      <c r="I30" s="321"/>
      <c r="J30" s="321"/>
      <c r="K30" s="321"/>
      <c r="L30" s="321"/>
      <c r="M30" s="321" t="s">
        <v>116</v>
      </c>
      <c r="N30" s="321"/>
      <c r="O30" s="321"/>
      <c r="P30" s="321"/>
    </row>
    <row r="31" spans="2:16">
      <c r="B31" s="321"/>
      <c r="C31" s="321"/>
      <c r="D31" s="321"/>
      <c r="E31" s="321"/>
      <c r="F31" s="321"/>
      <c r="G31" s="321"/>
      <c r="H31" s="321"/>
      <c r="I31" s="321"/>
      <c r="J31" s="321"/>
      <c r="K31" s="321"/>
      <c r="L31" s="321"/>
      <c r="M31" s="321"/>
      <c r="N31" s="321"/>
      <c r="O31" s="321"/>
      <c r="P31" s="327">
        <f>SUM(E30,I37,M32)</f>
        <v>-45000</v>
      </c>
    </row>
    <row r="32" spans="2:16">
      <c r="B32" s="321"/>
      <c r="C32" s="321"/>
      <c r="D32" s="321"/>
      <c r="E32" s="321"/>
      <c r="F32" s="321"/>
      <c r="G32" s="321"/>
      <c r="H32" s="321"/>
      <c r="I32" s="321"/>
      <c r="J32" s="321"/>
      <c r="K32" s="321"/>
      <c r="L32" s="321"/>
      <c r="M32" s="328">
        <v>-20000</v>
      </c>
      <c r="N32" s="327">
        <f>P31</f>
        <v>-45000</v>
      </c>
      <c r="O32" s="321"/>
      <c r="P32" s="321"/>
    </row>
    <row r="33" spans="2:16">
      <c r="B33" s="321"/>
      <c r="C33" s="321"/>
      <c r="D33" s="321"/>
      <c r="E33" s="321"/>
      <c r="F33" s="321"/>
      <c r="G33" s="321"/>
      <c r="H33" s="321"/>
      <c r="I33" s="321"/>
      <c r="J33" s="321"/>
      <c r="K33" s="321"/>
      <c r="L33" s="321"/>
      <c r="M33" s="321"/>
      <c r="N33" s="321"/>
      <c r="O33" s="321"/>
      <c r="P33" s="321"/>
    </row>
    <row r="34" spans="2:16">
      <c r="B34" s="321"/>
      <c r="C34" s="321"/>
      <c r="D34" s="321"/>
      <c r="E34" s="321"/>
      <c r="F34" s="321"/>
      <c r="G34" s="321"/>
      <c r="H34" s="321"/>
      <c r="I34" s="321"/>
      <c r="J34" s="321"/>
      <c r="K34" s="321"/>
      <c r="L34" s="321"/>
      <c r="M34" s="326">
        <v>0.65</v>
      </c>
      <c r="N34" s="321"/>
      <c r="O34" s="321"/>
      <c r="P34" s="321"/>
    </row>
    <row r="35" spans="2:16">
      <c r="B35" s="321"/>
      <c r="C35" s="321"/>
      <c r="D35" s="321"/>
      <c r="E35" s="321"/>
      <c r="F35" s="321"/>
      <c r="G35" s="321"/>
      <c r="H35" s="321"/>
      <c r="I35" s="331" t="s">
        <v>120</v>
      </c>
      <c r="J35" s="321"/>
      <c r="K35" s="321"/>
      <c r="L35" s="321"/>
      <c r="M35" s="321" t="s">
        <v>121</v>
      </c>
      <c r="N35" s="321"/>
      <c r="O35" s="321"/>
      <c r="P35" s="321"/>
    </row>
    <row r="36" spans="2:16">
      <c r="B36" s="321"/>
      <c r="C36" s="321"/>
      <c r="D36" s="321"/>
      <c r="E36" s="321"/>
      <c r="F36" s="321"/>
      <c r="G36" s="321"/>
      <c r="H36" s="321"/>
      <c r="I36" s="321"/>
      <c r="J36" s="321"/>
      <c r="K36" s="321"/>
      <c r="L36" s="321"/>
      <c r="M36" s="321"/>
      <c r="N36" s="321"/>
      <c r="O36" s="321"/>
      <c r="P36" s="327">
        <f>SUM(E30,I37,M37)</f>
        <v>-31000</v>
      </c>
    </row>
    <row r="37" spans="2:16">
      <c r="B37" s="321"/>
      <c r="C37" s="321"/>
      <c r="D37" s="321"/>
      <c r="E37" s="321"/>
      <c r="F37" s="321"/>
      <c r="G37" s="321"/>
      <c r="H37" s="321"/>
      <c r="I37" s="328">
        <v>0</v>
      </c>
      <c r="J37" s="321">
        <f>IF(ABS(1-(M29+M34+M39))&lt;=0.00001,M29*N32+M34*N37+M39*N42,NA())</f>
        <v>-36150</v>
      </c>
      <c r="K37" s="321"/>
      <c r="L37" s="321"/>
      <c r="M37" s="328">
        <v>-6000</v>
      </c>
      <c r="N37" s="327">
        <f>P36</f>
        <v>-31000</v>
      </c>
      <c r="O37" s="321"/>
      <c r="P37" s="321"/>
    </row>
    <row r="38" spans="2:16">
      <c r="B38" s="321"/>
      <c r="C38" s="321"/>
      <c r="D38" s="321"/>
      <c r="E38" s="321"/>
      <c r="F38" s="321"/>
      <c r="G38" s="321"/>
      <c r="H38" s="321"/>
      <c r="I38" s="321"/>
      <c r="J38" s="321"/>
      <c r="K38" s="321"/>
      <c r="L38" s="321"/>
      <c r="M38" s="321"/>
      <c r="N38" s="321"/>
      <c r="O38" s="321"/>
      <c r="P38" s="321"/>
    </row>
    <row r="39" spans="2:16">
      <c r="B39" s="321"/>
      <c r="C39" s="321"/>
      <c r="D39" s="321"/>
      <c r="E39" s="321"/>
      <c r="F39" s="321"/>
      <c r="G39" s="321"/>
      <c r="H39" s="321"/>
      <c r="I39" s="321"/>
      <c r="J39" s="321"/>
      <c r="K39" s="321"/>
      <c r="L39" s="321"/>
      <c r="M39" s="326">
        <v>0.05</v>
      </c>
      <c r="N39" s="321"/>
      <c r="O39" s="321"/>
      <c r="P39" s="321"/>
    </row>
    <row r="40" spans="2:16">
      <c r="B40" s="321"/>
      <c r="C40" s="321"/>
      <c r="D40" s="321"/>
      <c r="E40" s="321"/>
      <c r="F40" s="321"/>
      <c r="G40" s="321"/>
      <c r="H40" s="321"/>
      <c r="I40" s="321"/>
      <c r="J40" s="321"/>
      <c r="K40" s="321"/>
      <c r="L40" s="321"/>
      <c r="M40" s="321" t="s">
        <v>122</v>
      </c>
      <c r="N40" s="321"/>
      <c r="O40" s="321"/>
      <c r="P40" s="321"/>
    </row>
    <row r="41" spans="2:16">
      <c r="B41" s="321"/>
      <c r="C41" s="321"/>
      <c r="D41" s="321"/>
      <c r="E41" s="321"/>
      <c r="F41" s="321"/>
      <c r="G41" s="321"/>
      <c r="H41" s="321"/>
      <c r="I41" s="321"/>
      <c r="J41" s="321"/>
      <c r="K41" s="321"/>
      <c r="L41" s="321"/>
      <c r="M41" s="321"/>
      <c r="N41" s="321"/>
      <c r="O41" s="321"/>
      <c r="P41" s="327">
        <f>SUM(E30,I37,M42)</f>
        <v>-50000</v>
      </c>
    </row>
    <row r="42" spans="2:16">
      <c r="B42" s="321"/>
      <c r="C42" s="321"/>
      <c r="D42" s="321"/>
      <c r="E42" s="321"/>
      <c r="F42" s="321"/>
      <c r="G42" s="321"/>
      <c r="H42" s="321"/>
      <c r="I42" s="321"/>
      <c r="J42" s="321"/>
      <c r="K42" s="321"/>
      <c r="L42" s="321"/>
      <c r="M42" s="328">
        <v>-25000</v>
      </c>
      <c r="N42" s="327">
        <f>P41</f>
        <v>-50000</v>
      </c>
      <c r="O42" s="321"/>
      <c r="P42" s="321"/>
    </row>
    <row r="43" spans="2:16">
      <c r="M43" s="321"/>
    </row>
    <row r="993" spans="184:198">
      <c r="GB993" s="44" t="s">
        <v>55</v>
      </c>
      <c r="GC993" s="44" t="s">
        <v>56</v>
      </c>
      <c r="GD993" s="44" t="s">
        <v>57</v>
      </c>
      <c r="GE993" s="44" t="s">
        <v>58</v>
      </c>
      <c r="GF993" s="44" t="s">
        <v>59</v>
      </c>
      <c r="GG993" s="44" t="s">
        <v>60</v>
      </c>
      <c r="GH993" s="44" t="s">
        <v>61</v>
      </c>
      <c r="GI993" s="44" t="s">
        <v>62</v>
      </c>
      <c r="GJ993" s="44" t="s">
        <v>63</v>
      </c>
      <c r="GK993" s="44" t="s">
        <v>64</v>
      </c>
      <c r="GL993" s="44" t="s">
        <v>65</v>
      </c>
      <c r="GM993" s="44" t="s">
        <v>66</v>
      </c>
      <c r="GN993" s="44" t="s">
        <v>67</v>
      </c>
      <c r="GO993" s="44" t="s">
        <v>68</v>
      </c>
      <c r="GP993" s="44" t="s">
        <v>69</v>
      </c>
    </row>
    <row r="994" spans="184:198">
      <c r="GB994" s="44">
        <v>0</v>
      </c>
      <c r="GC994" s="44" t="s">
        <v>70</v>
      </c>
      <c r="GD994" s="44">
        <v>0</v>
      </c>
      <c r="GE994" s="44">
        <v>0</v>
      </c>
      <c r="GF994" s="44">
        <v>0</v>
      </c>
      <c r="GG994" s="44" t="s">
        <v>71</v>
      </c>
      <c r="GH994" s="44">
        <v>2</v>
      </c>
      <c r="GI994" s="44">
        <v>1</v>
      </c>
      <c r="GJ994" s="44">
        <v>2</v>
      </c>
      <c r="GK994" s="44">
        <v>0</v>
      </c>
      <c r="GL994" s="44">
        <v>0</v>
      </c>
      <c r="GM994" s="44">
        <v>0</v>
      </c>
      <c r="GN994" s="45">
        <v>16</v>
      </c>
      <c r="GO994" s="45">
        <v>1</v>
      </c>
      <c r="GP994" s="45" t="b">
        <v>1</v>
      </c>
    </row>
    <row r="995" spans="184:198">
      <c r="GB995" s="44">
        <v>1</v>
      </c>
      <c r="GE995">
        <v>0</v>
      </c>
      <c r="GF995" s="44">
        <v>0</v>
      </c>
      <c r="GG995" s="44" t="s">
        <v>71</v>
      </c>
      <c r="GH995" s="44">
        <v>2</v>
      </c>
      <c r="GI995" s="44">
        <v>3</v>
      </c>
      <c r="GJ995" s="44">
        <v>4</v>
      </c>
      <c r="GK995" s="44">
        <v>0</v>
      </c>
      <c r="GL995" s="44">
        <v>0</v>
      </c>
      <c r="GM995" s="44">
        <v>0</v>
      </c>
      <c r="GN995" s="45">
        <v>8</v>
      </c>
      <c r="GO995" s="45">
        <v>5</v>
      </c>
      <c r="GP995" s="45" t="b">
        <v>1</v>
      </c>
    </row>
    <row r="996" spans="184:198">
      <c r="GB996" s="44">
        <v>2</v>
      </c>
      <c r="GE996">
        <v>0</v>
      </c>
      <c r="GF996" s="44">
        <v>0</v>
      </c>
      <c r="GG996" s="44" t="s">
        <v>71</v>
      </c>
      <c r="GH996" s="44">
        <v>2</v>
      </c>
      <c r="GI996" s="44">
        <v>5</v>
      </c>
      <c r="GJ996" s="44">
        <v>6</v>
      </c>
      <c r="GK996" s="44">
        <v>0</v>
      </c>
      <c r="GL996" s="44">
        <v>0</v>
      </c>
      <c r="GM996" s="44">
        <v>0</v>
      </c>
      <c r="GN996" s="45">
        <v>25</v>
      </c>
      <c r="GO996" s="45">
        <v>5</v>
      </c>
      <c r="GP996" s="45" t="b">
        <v>1</v>
      </c>
    </row>
    <row r="997" spans="184:198">
      <c r="GB997">
        <v>3</v>
      </c>
      <c r="GE997">
        <v>0</v>
      </c>
      <c r="GF997">
        <v>1</v>
      </c>
      <c r="GG997" t="s">
        <v>72</v>
      </c>
      <c r="GH997">
        <v>2</v>
      </c>
      <c r="GI997">
        <v>7</v>
      </c>
      <c r="GJ997">
        <v>8</v>
      </c>
      <c r="GK997">
        <v>0</v>
      </c>
      <c r="GL997">
        <v>0</v>
      </c>
      <c r="GM997">
        <v>0</v>
      </c>
      <c r="GN997">
        <v>4</v>
      </c>
      <c r="GO997">
        <v>9</v>
      </c>
      <c r="GP997" t="b">
        <v>1</v>
      </c>
    </row>
    <row r="998" spans="184:198">
      <c r="GB998">
        <v>4</v>
      </c>
      <c r="GE998">
        <v>0</v>
      </c>
      <c r="GF998">
        <v>1</v>
      </c>
      <c r="GG998" t="s">
        <v>73</v>
      </c>
      <c r="GH998">
        <v>0</v>
      </c>
      <c r="GI998">
        <v>0</v>
      </c>
      <c r="GJ998">
        <v>0</v>
      </c>
      <c r="GK998">
        <v>0</v>
      </c>
      <c r="GL998">
        <v>0</v>
      </c>
      <c r="GM998">
        <v>0</v>
      </c>
      <c r="GN998">
        <v>12</v>
      </c>
      <c r="GO998">
        <v>9</v>
      </c>
      <c r="GP998" t="b">
        <v>1</v>
      </c>
    </row>
    <row r="999" spans="184:198">
      <c r="GB999">
        <v>5</v>
      </c>
      <c r="GE999">
        <v>0</v>
      </c>
      <c r="GF999">
        <v>2</v>
      </c>
      <c r="GG999" t="s">
        <v>72</v>
      </c>
      <c r="GH999">
        <v>2</v>
      </c>
      <c r="GI999">
        <v>9</v>
      </c>
      <c r="GJ999">
        <v>10</v>
      </c>
      <c r="GK999">
        <v>0</v>
      </c>
      <c r="GL999">
        <v>0</v>
      </c>
      <c r="GM999">
        <v>0</v>
      </c>
      <c r="GN999">
        <v>19</v>
      </c>
      <c r="GO999">
        <v>9</v>
      </c>
      <c r="GP999" t="b">
        <v>1</v>
      </c>
    </row>
    <row r="1000" spans="184:198">
      <c r="GB1000">
        <v>6</v>
      </c>
      <c r="GE1000">
        <v>0</v>
      </c>
      <c r="GF1000">
        <v>2</v>
      </c>
      <c r="GG1000" t="s">
        <v>72</v>
      </c>
      <c r="GH1000">
        <v>3</v>
      </c>
      <c r="GI1000">
        <v>11</v>
      </c>
      <c r="GJ1000">
        <v>12</v>
      </c>
      <c r="GK1000">
        <v>13</v>
      </c>
      <c r="GL1000">
        <v>0</v>
      </c>
      <c r="GM1000">
        <v>0</v>
      </c>
      <c r="GN1000">
        <v>32</v>
      </c>
      <c r="GO1000">
        <v>9</v>
      </c>
      <c r="GP1000" t="b">
        <v>1</v>
      </c>
    </row>
    <row r="1001" spans="184:198">
      <c r="GB1001">
        <v>7</v>
      </c>
      <c r="GF1001">
        <v>3</v>
      </c>
      <c r="GG1001" t="s">
        <v>73</v>
      </c>
      <c r="GH1001">
        <v>0</v>
      </c>
      <c r="GI1001">
        <v>0</v>
      </c>
      <c r="GJ1001">
        <v>0</v>
      </c>
      <c r="GK1001">
        <v>0</v>
      </c>
      <c r="GL1001">
        <v>0</v>
      </c>
      <c r="GM1001">
        <v>0</v>
      </c>
      <c r="GN1001">
        <v>2</v>
      </c>
      <c r="GO1001">
        <v>13</v>
      </c>
      <c r="GP1001" t="b">
        <v>1</v>
      </c>
    </row>
    <row r="1002" spans="184:198">
      <c r="GB1002">
        <v>8</v>
      </c>
      <c r="GF1002">
        <v>3</v>
      </c>
      <c r="GG1002" t="s">
        <v>73</v>
      </c>
      <c r="GH1002">
        <v>0</v>
      </c>
      <c r="GI1002">
        <v>0</v>
      </c>
      <c r="GJ1002">
        <v>0</v>
      </c>
      <c r="GK1002">
        <v>0</v>
      </c>
      <c r="GL1002">
        <v>0</v>
      </c>
      <c r="GM1002">
        <v>0</v>
      </c>
      <c r="GN1002">
        <v>7</v>
      </c>
      <c r="GO1002">
        <v>13</v>
      </c>
      <c r="GP1002" t="b">
        <v>1</v>
      </c>
    </row>
    <row r="1003" spans="184:198">
      <c r="GB1003">
        <v>9</v>
      </c>
      <c r="GF1003">
        <v>5</v>
      </c>
      <c r="GG1003" t="s">
        <v>73</v>
      </c>
      <c r="GH1003">
        <v>0</v>
      </c>
      <c r="GI1003">
        <v>0</v>
      </c>
      <c r="GJ1003">
        <v>0</v>
      </c>
      <c r="GK1003">
        <v>0</v>
      </c>
      <c r="GL1003">
        <v>0</v>
      </c>
      <c r="GM1003">
        <v>0</v>
      </c>
      <c r="GN1003">
        <v>17</v>
      </c>
      <c r="GO1003">
        <v>13</v>
      </c>
      <c r="GP1003" t="b">
        <v>1</v>
      </c>
    </row>
    <row r="1004" spans="184:198">
      <c r="GB1004">
        <v>10</v>
      </c>
      <c r="GF1004">
        <v>5</v>
      </c>
      <c r="GG1004" t="s">
        <v>73</v>
      </c>
      <c r="GH1004">
        <v>0</v>
      </c>
      <c r="GI1004">
        <v>0</v>
      </c>
      <c r="GJ1004">
        <v>0</v>
      </c>
      <c r="GK1004">
        <v>0</v>
      </c>
      <c r="GL1004">
        <v>0</v>
      </c>
      <c r="GM1004">
        <v>0</v>
      </c>
      <c r="GN1004">
        <v>22</v>
      </c>
      <c r="GO1004">
        <v>13</v>
      </c>
      <c r="GP1004" t="b">
        <v>1</v>
      </c>
    </row>
    <row r="1005" spans="184:198">
      <c r="GB1005">
        <v>11</v>
      </c>
      <c r="GF1005">
        <v>6</v>
      </c>
      <c r="GG1005" t="s">
        <v>73</v>
      </c>
      <c r="GH1005">
        <v>0</v>
      </c>
      <c r="GI1005">
        <v>0</v>
      </c>
      <c r="GJ1005">
        <v>0</v>
      </c>
      <c r="GK1005">
        <v>0</v>
      </c>
      <c r="GL1005">
        <v>0</v>
      </c>
      <c r="GM1005">
        <v>0</v>
      </c>
      <c r="GN1005">
        <v>27</v>
      </c>
      <c r="GO1005">
        <v>13</v>
      </c>
      <c r="GP1005" t="b">
        <v>1</v>
      </c>
    </row>
    <row r="1006" spans="184:198">
      <c r="GB1006">
        <v>12</v>
      </c>
      <c r="GF1006">
        <v>6</v>
      </c>
      <c r="GG1006" t="s">
        <v>73</v>
      </c>
      <c r="GH1006">
        <v>0</v>
      </c>
      <c r="GI1006">
        <v>0</v>
      </c>
      <c r="GJ1006">
        <v>0</v>
      </c>
      <c r="GK1006">
        <v>0</v>
      </c>
      <c r="GL1006">
        <v>0</v>
      </c>
      <c r="GM1006">
        <v>0</v>
      </c>
      <c r="GN1006">
        <v>32</v>
      </c>
      <c r="GO1006">
        <v>13</v>
      </c>
      <c r="GP1006" t="b">
        <v>1</v>
      </c>
    </row>
    <row r="1007" spans="184:198">
      <c r="GB1007">
        <v>13</v>
      </c>
      <c r="GF1007">
        <v>6</v>
      </c>
      <c r="GG1007" t="s">
        <v>73</v>
      </c>
      <c r="GH1007">
        <v>0</v>
      </c>
      <c r="GI1007">
        <v>0</v>
      </c>
      <c r="GJ1007">
        <v>0</v>
      </c>
      <c r="GK1007">
        <v>0</v>
      </c>
      <c r="GL1007">
        <v>0</v>
      </c>
      <c r="GM1007">
        <v>0</v>
      </c>
      <c r="GN1007">
        <v>37</v>
      </c>
      <c r="GO1007">
        <v>13</v>
      </c>
      <c r="GP1007" t="b">
        <v>1</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97526-B5D1-4500-B93D-7178B7521CF3}">
  <sheetPr codeName="Sheet11"/>
  <dimension ref="A1:J24"/>
  <sheetViews>
    <sheetView showGridLines="0" workbookViewId="0">
      <selection activeCell="H22" sqref="H22:I23"/>
    </sheetView>
  </sheetViews>
  <sheetFormatPr defaultRowHeight="15"/>
  <cols>
    <col min="2" max="2" width="14.140625" customWidth="1"/>
    <col min="3" max="4" width="14.140625" style="8" customWidth="1"/>
    <col min="5" max="6" width="14.140625" customWidth="1"/>
    <col min="7" max="7" width="18.140625" customWidth="1"/>
    <col min="8" max="9" width="14.140625" customWidth="1"/>
    <col min="10" max="10" width="16.140625" customWidth="1"/>
    <col min="11" max="13" width="14.5703125" customWidth="1"/>
    <col min="14" max="14" width="17.5703125" customWidth="1"/>
  </cols>
  <sheetData>
    <row r="1" spans="1:10" ht="23.25">
      <c r="A1" s="46" t="s">
        <v>82</v>
      </c>
    </row>
    <row r="2" spans="1:10">
      <c r="A2" t="s">
        <v>81</v>
      </c>
    </row>
    <row r="4" spans="1:10" ht="18">
      <c r="B4" s="373" t="s">
        <v>83</v>
      </c>
      <c r="C4" s="373"/>
      <c r="D4" s="373"/>
      <c r="E4" s="373"/>
      <c r="F4" s="321"/>
      <c r="G4" s="374" t="s">
        <v>84</v>
      </c>
      <c r="H4" s="374"/>
      <c r="I4" s="374"/>
      <c r="J4" s="374"/>
    </row>
    <row r="5" spans="1:10">
      <c r="B5" s="321"/>
      <c r="C5" s="332"/>
      <c r="D5" s="332"/>
      <c r="E5" s="321"/>
      <c r="F5" s="321"/>
      <c r="G5" s="321"/>
      <c r="H5" s="321"/>
      <c r="I5" s="321"/>
      <c r="J5" s="321"/>
    </row>
    <row r="6" spans="1:10" ht="51" customHeight="1">
      <c r="B6" s="333"/>
      <c r="C6" s="334" t="s">
        <v>75</v>
      </c>
      <c r="D6" s="334" t="s">
        <v>76</v>
      </c>
      <c r="E6" s="335" t="s">
        <v>26</v>
      </c>
      <c r="F6" s="321"/>
      <c r="G6" s="333"/>
      <c r="H6" s="334" t="s">
        <v>353</v>
      </c>
      <c r="I6" s="336" t="s">
        <v>354</v>
      </c>
      <c r="J6" s="337" t="s">
        <v>80</v>
      </c>
    </row>
    <row r="7" spans="1:10" s="11" customFormat="1" ht="25.5" customHeight="1">
      <c r="B7" s="338" t="s">
        <v>77</v>
      </c>
      <c r="C7" s="339">
        <v>366000</v>
      </c>
      <c r="D7" s="339">
        <v>246000</v>
      </c>
      <c r="E7" s="340">
        <f>SUM(C7:D7)</f>
        <v>612000</v>
      </c>
      <c r="F7" s="341"/>
      <c r="G7" s="338" t="s">
        <v>355</v>
      </c>
      <c r="H7" s="342">
        <f>+C7/$E$9</f>
        <v>0.52285714285714291</v>
      </c>
      <c r="I7" s="343">
        <f>+D7/$E$9</f>
        <v>0.35142857142857142</v>
      </c>
      <c r="J7" s="344">
        <f>SUM(H7:I7)</f>
        <v>0.87428571428571433</v>
      </c>
    </row>
    <row r="8" spans="1:10" s="11" customFormat="1" ht="25.5" customHeight="1" thickBot="1">
      <c r="B8" s="338" t="s">
        <v>78</v>
      </c>
      <c r="C8" s="339">
        <v>26000</v>
      </c>
      <c r="D8" s="339">
        <v>62000</v>
      </c>
      <c r="E8" s="340">
        <f>SUM(C8:D8)</f>
        <v>88000</v>
      </c>
      <c r="F8" s="341"/>
      <c r="G8" s="345" t="s">
        <v>356</v>
      </c>
      <c r="H8" s="346">
        <f>+C8/$E$9</f>
        <v>3.7142857142857144E-2</v>
      </c>
      <c r="I8" s="347">
        <f>+D8/$E$9</f>
        <v>8.8571428571428565E-2</v>
      </c>
      <c r="J8" s="348">
        <f>SUM(H8:I8)</f>
        <v>0.12571428571428572</v>
      </c>
    </row>
    <row r="9" spans="1:10" s="11" customFormat="1" ht="31.5" customHeight="1" thickBot="1">
      <c r="B9" s="349" t="s">
        <v>26</v>
      </c>
      <c r="C9" s="340">
        <f>SUM(C7:C8)</f>
        <v>392000</v>
      </c>
      <c r="D9" s="340">
        <f>SUM(D7:D8)</f>
        <v>308000</v>
      </c>
      <c r="E9" s="340">
        <f>SUM(C9:D9)</f>
        <v>700000</v>
      </c>
      <c r="F9" s="341"/>
      <c r="G9" s="350" t="s">
        <v>79</v>
      </c>
      <c r="H9" s="351">
        <f>SUM(H7:H8)</f>
        <v>0.56000000000000005</v>
      </c>
      <c r="I9" s="352">
        <f>SUM(I7:I8)</f>
        <v>0.44</v>
      </c>
      <c r="J9" s="353">
        <f>SUM(H9:I9)</f>
        <v>1</v>
      </c>
    </row>
    <row r="10" spans="1:10">
      <c r="B10" s="321"/>
      <c r="C10" s="332"/>
      <c r="D10" s="332"/>
      <c r="E10" s="321"/>
      <c r="F10" s="321"/>
      <c r="G10" s="321"/>
      <c r="H10" s="321"/>
      <c r="I10" s="321"/>
      <c r="J10" s="321"/>
    </row>
    <row r="11" spans="1:10">
      <c r="B11" s="321"/>
      <c r="C11" s="332"/>
      <c r="D11" s="332"/>
      <c r="E11" s="321"/>
      <c r="F11" s="321"/>
      <c r="G11" s="321"/>
      <c r="H11" s="321"/>
      <c r="I11" s="321"/>
      <c r="J11" s="321"/>
    </row>
    <row r="12" spans="1:10" ht="31.5" customHeight="1">
      <c r="B12" s="321"/>
      <c r="C12" s="332"/>
      <c r="D12" s="332"/>
      <c r="E12" s="321"/>
      <c r="F12" s="321"/>
      <c r="G12" s="321"/>
      <c r="H12" s="321"/>
      <c r="I12" s="321"/>
      <c r="J12" s="321"/>
    </row>
    <row r="13" spans="1:10" ht="21" customHeight="1">
      <c r="B13" s="321"/>
      <c r="C13" s="339">
        <v>172</v>
      </c>
      <c r="D13" s="339">
        <v>228</v>
      </c>
      <c r="E13" s="321"/>
      <c r="F13" s="321"/>
      <c r="G13" s="374" t="s">
        <v>85</v>
      </c>
      <c r="H13" s="374"/>
      <c r="I13" s="374"/>
      <c r="J13" s="321"/>
    </row>
    <row r="14" spans="1:10">
      <c r="B14" s="321"/>
      <c r="C14" s="339">
        <v>28</v>
      </c>
      <c r="D14" s="339">
        <v>72</v>
      </c>
      <c r="E14" s="321"/>
      <c r="F14" s="321"/>
      <c r="G14" s="321"/>
      <c r="H14" s="321"/>
      <c r="I14" s="321"/>
      <c r="J14" s="321"/>
    </row>
    <row r="15" spans="1:10" ht="31.5">
      <c r="B15" s="321"/>
      <c r="C15" s="332"/>
      <c r="D15" s="332"/>
      <c r="E15" s="321"/>
      <c r="F15" s="321"/>
      <c r="G15" s="333"/>
      <c r="H15" s="334" t="s">
        <v>353</v>
      </c>
      <c r="I15" s="334" t="s">
        <v>354</v>
      </c>
      <c r="J15" s="321"/>
    </row>
    <row r="16" spans="1:10" ht="18.75">
      <c r="B16" s="321"/>
      <c r="C16" s="332"/>
      <c r="D16" s="332"/>
      <c r="E16" s="321"/>
      <c r="F16" s="321"/>
      <c r="G16" s="338" t="s">
        <v>355</v>
      </c>
      <c r="H16" s="342">
        <f>+H7/H$9</f>
        <v>0.93367346938775508</v>
      </c>
      <c r="I16" s="342">
        <f>+I7/I$9</f>
        <v>0.79870129870129869</v>
      </c>
      <c r="J16" s="321"/>
    </row>
    <row r="17" spans="2:10" ht="18.75">
      <c r="B17" s="321"/>
      <c r="C17" s="339">
        <v>366000</v>
      </c>
      <c r="D17" s="339">
        <v>246000</v>
      </c>
      <c r="E17" s="321"/>
      <c r="F17" s="321"/>
      <c r="G17" s="338" t="s">
        <v>356</v>
      </c>
      <c r="H17" s="342">
        <f>+H8/H$9</f>
        <v>6.6326530612244888E-2</v>
      </c>
      <c r="I17" s="342">
        <f>+I8/I$9</f>
        <v>0.20129870129870128</v>
      </c>
      <c r="J17" s="321"/>
    </row>
    <row r="18" spans="2:10">
      <c r="B18" s="321"/>
      <c r="C18" s="339">
        <v>26000</v>
      </c>
      <c r="D18" s="339">
        <v>62000</v>
      </c>
      <c r="E18" s="321"/>
      <c r="F18" s="321"/>
      <c r="G18" s="321"/>
      <c r="H18" s="321"/>
      <c r="I18" s="321"/>
      <c r="J18" s="321"/>
    </row>
    <row r="19" spans="2:10" ht="18">
      <c r="B19" s="321"/>
      <c r="C19" s="332"/>
      <c r="D19" s="332"/>
      <c r="E19" s="321"/>
      <c r="F19" s="321"/>
      <c r="G19" s="374" t="s">
        <v>86</v>
      </c>
      <c r="H19" s="374"/>
      <c r="I19" s="374"/>
      <c r="J19" s="321"/>
    </row>
    <row r="20" spans="2:10">
      <c r="B20" s="321"/>
      <c r="C20" s="332"/>
      <c r="D20" s="332"/>
      <c r="E20" s="321"/>
      <c r="F20" s="321"/>
      <c r="G20" s="321"/>
      <c r="H20" s="321"/>
      <c r="I20" s="321"/>
      <c r="J20" s="321"/>
    </row>
    <row r="21" spans="2:10" ht="31.5">
      <c r="B21" s="321"/>
      <c r="C21" s="332"/>
      <c r="D21" s="332"/>
      <c r="E21" s="321"/>
      <c r="F21" s="321"/>
      <c r="G21" s="333"/>
      <c r="H21" s="334" t="s">
        <v>353</v>
      </c>
      <c r="I21" s="334" t="s">
        <v>354</v>
      </c>
      <c r="J21" s="321"/>
    </row>
    <row r="22" spans="2:10" ht="18.75">
      <c r="B22" s="321"/>
      <c r="C22" s="332"/>
      <c r="D22" s="332"/>
      <c r="E22" s="321"/>
      <c r="F22" s="321"/>
      <c r="G22" s="338" t="s">
        <v>355</v>
      </c>
      <c r="H22" s="342">
        <f>+H7/$J7</f>
        <v>0.59803921568627449</v>
      </c>
      <c r="I22" s="342">
        <f>+I7/$J7</f>
        <v>0.40196078431372545</v>
      </c>
      <c r="J22" s="321"/>
    </row>
    <row r="23" spans="2:10" ht="18.75">
      <c r="B23" s="321"/>
      <c r="C23" s="332"/>
      <c r="D23" s="332"/>
      <c r="E23" s="321"/>
      <c r="F23" s="321"/>
      <c r="G23" s="338" t="s">
        <v>356</v>
      </c>
      <c r="H23" s="342">
        <f>+H8/$J8</f>
        <v>0.29545454545454547</v>
      </c>
      <c r="I23" s="342">
        <f>+I8/$J8</f>
        <v>0.70454545454545447</v>
      </c>
      <c r="J23" s="321"/>
    </row>
    <row r="24" spans="2:10">
      <c r="B24" s="321"/>
      <c r="C24" s="332"/>
      <c r="D24" s="332"/>
      <c r="E24" s="321"/>
      <c r="F24" s="321"/>
      <c r="G24" s="321"/>
      <c r="H24" s="321"/>
      <c r="I24" s="321"/>
      <c r="J24" s="321"/>
    </row>
  </sheetData>
  <mergeCells count="4">
    <mergeCell ref="B4:E4"/>
    <mergeCell ref="G4:J4"/>
    <mergeCell ref="G13:I13"/>
    <mergeCell ref="G19:I1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EA439-F924-4304-B3EC-35143E8C2D16}">
  <sheetPr codeName="Sheet12"/>
  <dimension ref="A1:N27"/>
  <sheetViews>
    <sheetView showGridLines="0" zoomScale="115" zoomScaleNormal="115" workbookViewId="0">
      <selection activeCell="H58" sqref="H58"/>
    </sheetView>
  </sheetViews>
  <sheetFormatPr defaultRowHeight="15"/>
  <cols>
    <col min="1" max="1" width="3.28515625" customWidth="1"/>
    <col min="2" max="2" width="19.7109375" customWidth="1"/>
    <col min="3" max="3" width="27.7109375" bestFit="1" customWidth="1"/>
    <col min="4" max="4" width="12.5703125" style="8" customWidth="1"/>
    <col min="5" max="5" width="11.42578125" style="8" customWidth="1"/>
    <col min="6" max="6" width="11.7109375" style="8" customWidth="1"/>
    <col min="7" max="7" width="12" style="8" customWidth="1"/>
    <col min="8" max="10" width="11.140625" style="8" bestFit="1" customWidth="1"/>
    <col min="11" max="11" width="12" style="8" customWidth="1"/>
    <col min="12" max="12" width="3" customWidth="1"/>
  </cols>
  <sheetData>
    <row r="1" spans="1:14" ht="23.25">
      <c r="A1" s="46" t="s">
        <v>113</v>
      </c>
    </row>
    <row r="2" spans="1:14" ht="16.5" customHeight="1">
      <c r="A2" t="s">
        <v>95</v>
      </c>
    </row>
    <row r="3" spans="1:14" ht="16.5" customHeight="1"/>
    <row r="4" spans="1:14">
      <c r="C4" s="7" t="s">
        <v>232</v>
      </c>
      <c r="D4" s="7" t="s">
        <v>266</v>
      </c>
      <c r="E4" s="7" t="s">
        <v>12</v>
      </c>
    </row>
    <row r="5" spans="1:14">
      <c r="B5" t="s">
        <v>88</v>
      </c>
      <c r="C5" s="42">
        <v>1000000</v>
      </c>
      <c r="D5" s="209">
        <f>1-D6</f>
        <v>0.9</v>
      </c>
      <c r="E5" s="72">
        <f>+C5*D5</f>
        <v>900000</v>
      </c>
      <c r="I5" s="7"/>
    </row>
    <row r="6" spans="1:14">
      <c r="B6" t="s">
        <v>101</v>
      </c>
      <c r="C6" s="42">
        <v>-100000</v>
      </c>
      <c r="D6" s="176">
        <v>0.1</v>
      </c>
      <c r="E6" s="72">
        <f>+C6*D6</f>
        <v>-10000</v>
      </c>
      <c r="K6" s="6"/>
      <c r="L6" s="6"/>
      <c r="M6" s="8"/>
      <c r="N6" s="8"/>
    </row>
    <row r="7" spans="1:14">
      <c r="I7" s="64"/>
      <c r="K7"/>
      <c r="M7" s="8"/>
      <c r="N7" s="8"/>
    </row>
    <row r="8" spans="1:14" ht="15.75" customHeight="1">
      <c r="B8" t="s">
        <v>12</v>
      </c>
      <c r="D8"/>
      <c r="E8" s="51">
        <f>SUMPRODUCT(C5:C6,D5:D6)</f>
        <v>890000</v>
      </c>
      <c r="I8"/>
      <c r="J8"/>
      <c r="K8"/>
      <c r="M8" s="8"/>
      <c r="N8" s="8"/>
    </row>
    <row r="9" spans="1:14">
      <c r="B9" s="63" t="s">
        <v>112</v>
      </c>
      <c r="K9"/>
    </row>
    <row r="10" spans="1:14">
      <c r="L10" s="8"/>
      <c r="M10" s="8"/>
      <c r="N10" s="8"/>
    </row>
    <row r="11" spans="1:14" ht="15" customHeight="1">
      <c r="B11" s="31" t="s">
        <v>89</v>
      </c>
      <c r="C11" s="68" t="s">
        <v>90</v>
      </c>
      <c r="D11" s="150" t="s">
        <v>57</v>
      </c>
      <c r="E11" s="210"/>
      <c r="L11" s="8"/>
      <c r="M11" s="8"/>
      <c r="N11" s="8"/>
    </row>
    <row r="12" spans="1:14">
      <c r="B12" s="21" t="s">
        <v>267</v>
      </c>
      <c r="C12" t="s">
        <v>137</v>
      </c>
      <c r="D12" s="8">
        <v>0.9</v>
      </c>
      <c r="E12" s="69"/>
    </row>
    <row r="13" spans="1:14">
      <c r="B13" s="21" t="s">
        <v>268</v>
      </c>
      <c r="C13" t="s">
        <v>269</v>
      </c>
      <c r="D13" s="64">
        <v>900000</v>
      </c>
      <c r="E13" s="69"/>
    </row>
    <row r="14" spans="1:14">
      <c r="B14" s="21" t="s">
        <v>270</v>
      </c>
      <c r="C14" t="s">
        <v>271</v>
      </c>
      <c r="D14" s="64">
        <v>-10000</v>
      </c>
      <c r="E14" s="69"/>
    </row>
    <row r="15" spans="1:14">
      <c r="B15" s="22" t="s">
        <v>272</v>
      </c>
      <c r="C15" s="23" t="s">
        <v>273</v>
      </c>
      <c r="D15" s="211">
        <v>890000</v>
      </c>
      <c r="E15" s="71"/>
    </row>
    <row r="18" spans="2:11">
      <c r="C18" s="6" t="s">
        <v>111</v>
      </c>
    </row>
    <row r="19" spans="2:11" ht="30" customHeight="1">
      <c r="C19" s="54" t="s">
        <v>124</v>
      </c>
      <c r="D19" s="375" t="s">
        <v>106</v>
      </c>
      <c r="E19" s="375"/>
      <c r="F19" s="375"/>
      <c r="G19" s="375"/>
      <c r="H19" s="375"/>
      <c r="I19" s="375"/>
      <c r="J19" s="375"/>
      <c r="K19" s="375"/>
    </row>
    <row r="20" spans="2:11">
      <c r="B20" s="55" t="s">
        <v>94</v>
      </c>
      <c r="C20" s="56">
        <f>+E8</f>
        <v>890000</v>
      </c>
      <c r="D20" s="53">
        <v>0.995</v>
      </c>
      <c r="E20" s="62">
        <v>0.75</v>
      </c>
      <c r="F20" s="62">
        <v>0.5</v>
      </c>
      <c r="G20" s="62">
        <v>0.25</v>
      </c>
      <c r="H20" s="62">
        <v>0.1</v>
      </c>
      <c r="I20" s="62">
        <v>0.05</v>
      </c>
      <c r="J20" s="62">
        <v>0.01</v>
      </c>
      <c r="K20" s="57">
        <v>5.0000000000000001E-3</v>
      </c>
    </row>
    <row r="21" spans="2:11">
      <c r="B21" t="s">
        <v>102</v>
      </c>
      <c r="C21" s="48">
        <v>0</v>
      </c>
      <c r="D21" s="52">
        <f t="dataTable" ref="D21:K27" dt2D="1" dtr="1" r1="D6" r2="C6"/>
        <v>5000.0000000000045</v>
      </c>
      <c r="E21" s="1">
        <v>250000</v>
      </c>
      <c r="F21" s="1">
        <v>500000</v>
      </c>
      <c r="G21" s="1">
        <v>750000</v>
      </c>
      <c r="H21" s="1">
        <v>900000</v>
      </c>
      <c r="I21" s="1">
        <v>950000</v>
      </c>
      <c r="J21" s="1">
        <v>990000</v>
      </c>
      <c r="K21" s="52">
        <v>995000</v>
      </c>
    </row>
    <row r="22" spans="2:11">
      <c r="B22" t="s">
        <v>103</v>
      </c>
      <c r="C22" s="48">
        <v>-10000</v>
      </c>
      <c r="D22" s="52">
        <v>-4949.9999999999955</v>
      </c>
      <c r="E22" s="1">
        <v>242500</v>
      </c>
      <c r="F22" s="1">
        <v>495000</v>
      </c>
      <c r="G22" s="1">
        <v>747500</v>
      </c>
      <c r="H22" s="1">
        <v>899000</v>
      </c>
      <c r="I22" s="1">
        <v>949500</v>
      </c>
      <c r="J22" s="1">
        <v>989900</v>
      </c>
      <c r="K22" s="52">
        <v>994950</v>
      </c>
    </row>
    <row r="23" spans="2:11">
      <c r="B23" t="s">
        <v>104</v>
      </c>
      <c r="C23" s="48">
        <f>+C22*10</f>
        <v>-100000</v>
      </c>
      <c r="D23" s="52">
        <v>-94500</v>
      </c>
      <c r="E23" s="1">
        <v>175000</v>
      </c>
      <c r="F23" s="1">
        <v>450000</v>
      </c>
      <c r="G23" s="1">
        <v>725000</v>
      </c>
      <c r="H23" s="1">
        <v>890000</v>
      </c>
      <c r="I23" s="1">
        <v>945000</v>
      </c>
      <c r="J23" s="1">
        <v>989000</v>
      </c>
      <c r="K23" s="52">
        <v>994500</v>
      </c>
    </row>
    <row r="24" spans="2:11">
      <c r="B24" t="s">
        <v>105</v>
      </c>
      <c r="C24" s="48">
        <v>-250000</v>
      </c>
      <c r="D24" s="52">
        <v>-243750</v>
      </c>
      <c r="E24" s="1">
        <v>62500</v>
      </c>
      <c r="F24" s="1">
        <v>375000</v>
      </c>
      <c r="G24" s="1">
        <v>687500</v>
      </c>
      <c r="H24" s="1">
        <v>875000</v>
      </c>
      <c r="I24" s="1">
        <v>937500</v>
      </c>
      <c r="J24" s="1">
        <v>987500</v>
      </c>
      <c r="K24" s="52">
        <v>993750</v>
      </c>
    </row>
    <row r="25" spans="2:11">
      <c r="B25" t="s">
        <v>107</v>
      </c>
      <c r="C25" s="48">
        <v>-500000</v>
      </c>
      <c r="D25" s="52">
        <v>-492500</v>
      </c>
      <c r="E25" s="1">
        <v>-125000</v>
      </c>
      <c r="F25" s="1">
        <v>250000</v>
      </c>
      <c r="G25" s="1">
        <v>625000</v>
      </c>
      <c r="H25" s="1">
        <v>850000</v>
      </c>
      <c r="I25" s="1">
        <v>925000</v>
      </c>
      <c r="J25" s="1">
        <v>985000</v>
      </c>
      <c r="K25" s="52">
        <v>992500</v>
      </c>
    </row>
    <row r="26" spans="2:11">
      <c r="B26" t="s">
        <v>108</v>
      </c>
      <c r="C26" s="48">
        <v>-750000</v>
      </c>
      <c r="D26" s="52">
        <v>-741250</v>
      </c>
      <c r="E26" s="1">
        <v>-312500</v>
      </c>
      <c r="F26" s="1">
        <v>125000</v>
      </c>
      <c r="G26" s="1">
        <v>562500</v>
      </c>
      <c r="H26" s="1">
        <v>825000</v>
      </c>
      <c r="I26" s="1">
        <v>912500</v>
      </c>
      <c r="J26" s="1">
        <v>982500</v>
      </c>
      <c r="K26" s="52">
        <v>991250</v>
      </c>
    </row>
    <row r="27" spans="2:11">
      <c r="B27" t="s">
        <v>109</v>
      </c>
      <c r="C27" s="48">
        <v>-1000000</v>
      </c>
      <c r="D27" s="52">
        <v>-990000</v>
      </c>
      <c r="E27" s="1">
        <v>-500000</v>
      </c>
      <c r="F27" s="1">
        <v>0</v>
      </c>
      <c r="G27" s="1">
        <v>500000</v>
      </c>
      <c r="H27" s="1">
        <v>800000</v>
      </c>
      <c r="I27" s="1">
        <v>900000</v>
      </c>
      <c r="J27" s="1">
        <v>980000</v>
      </c>
      <c r="K27" s="52">
        <v>990000</v>
      </c>
    </row>
  </sheetData>
  <sortState xmlns:xlrd2="http://schemas.microsoft.com/office/spreadsheetml/2017/richdata2" ref="F28:G30">
    <sortCondition ref="G28"/>
  </sortState>
  <mergeCells count="1">
    <mergeCell ref="D19:K19"/>
  </mergeCells>
  <phoneticPr fontId="20" type="noConversion"/>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7B861-BE84-43F1-B306-9484FCE8EF66}">
  <sheetPr codeName="Sheet15"/>
  <dimension ref="A1:GV1005"/>
  <sheetViews>
    <sheetView showGridLines="0" topLeftCell="A65" zoomScale="115" zoomScaleNormal="115" workbookViewId="0">
      <selection activeCell="J87" sqref="J87"/>
    </sheetView>
  </sheetViews>
  <sheetFormatPr defaultRowHeight="15" outlineLevelRow="1"/>
  <cols>
    <col min="1" max="1" width="3.28515625" customWidth="1"/>
    <col min="2" max="2" width="31" customWidth="1"/>
    <col min="3" max="3" width="27.7109375" bestFit="1" customWidth="1"/>
    <col min="4" max="6" width="12.7109375" style="73" customWidth="1"/>
    <col min="7" max="7" width="11.140625" style="73" bestFit="1" customWidth="1"/>
    <col min="8" max="8" width="15.28515625" style="73" customWidth="1"/>
    <col min="9" max="9" width="2.7109375" style="73" customWidth="1"/>
    <col min="10" max="10" width="9.28515625" style="73" bestFit="1" customWidth="1"/>
    <col min="11" max="11" width="2.42578125" style="73" customWidth="1"/>
    <col min="12" max="12" width="14.42578125" style="74" bestFit="1" customWidth="1"/>
    <col min="13" max="13" width="2.28515625" style="74" customWidth="1"/>
    <col min="14" max="14" width="3.7109375" style="74" customWidth="1"/>
    <col min="15" max="16" width="14.42578125" bestFit="1" customWidth="1"/>
    <col min="17" max="17" width="2.28515625" customWidth="1"/>
    <col min="18" max="18" width="14.42578125" bestFit="1" customWidth="1"/>
    <col min="19" max="19" width="2.5703125" customWidth="1"/>
  </cols>
  <sheetData>
    <row r="1" spans="1:14" ht="23.25">
      <c r="A1" s="46" t="s">
        <v>132</v>
      </c>
    </row>
    <row r="2" spans="1:14" s="73" customFormat="1" ht="16.5" customHeight="1">
      <c r="A2" t="s">
        <v>95</v>
      </c>
      <c r="B2"/>
      <c r="C2"/>
      <c r="L2" s="74"/>
      <c r="M2" s="74"/>
      <c r="N2" s="74"/>
    </row>
    <row r="3" spans="1:14" s="73" customFormat="1" ht="16.5" customHeight="1">
      <c r="A3"/>
      <c r="B3"/>
      <c r="C3"/>
      <c r="L3" s="74"/>
      <c r="M3" s="74"/>
      <c r="N3" s="74"/>
    </row>
    <row r="4" spans="1:14" s="73" customFormat="1" ht="16.5" customHeight="1">
      <c r="A4" s="95" t="s">
        <v>280</v>
      </c>
      <c r="B4"/>
      <c r="C4"/>
      <c r="L4" s="74"/>
      <c r="M4" s="74"/>
      <c r="N4" s="74"/>
    </row>
    <row r="5" spans="1:14" s="73" customFormat="1" outlineLevel="1">
      <c r="A5"/>
      <c r="B5"/>
      <c r="C5" s="7" t="s">
        <v>57</v>
      </c>
      <c r="D5" s="7" t="s">
        <v>58</v>
      </c>
      <c r="E5" s="91" t="s">
        <v>12</v>
      </c>
      <c r="L5" s="74"/>
      <c r="M5" s="74"/>
      <c r="N5" s="74"/>
    </row>
    <row r="6" spans="1:14" s="73" customFormat="1" outlineLevel="1">
      <c r="A6"/>
      <c r="B6" t="s">
        <v>88</v>
      </c>
      <c r="C6" s="50">
        <v>1000000</v>
      </c>
      <c r="D6" s="49">
        <v>0.7</v>
      </c>
      <c r="E6" s="91">
        <f>+D6*C6</f>
        <v>700000</v>
      </c>
      <c r="L6" s="74"/>
      <c r="M6" s="74"/>
      <c r="N6" s="74"/>
    </row>
    <row r="7" spans="1:14" s="73" customFormat="1" outlineLevel="1">
      <c r="A7"/>
      <c r="B7" t="s">
        <v>100</v>
      </c>
      <c r="C7" s="50">
        <v>-500000</v>
      </c>
      <c r="D7" s="212">
        <f>1-D6</f>
        <v>0.30000000000000004</v>
      </c>
      <c r="E7" s="91">
        <f>+D7*C7</f>
        <v>-150000.00000000003</v>
      </c>
      <c r="L7" s="74"/>
      <c r="M7" s="74"/>
      <c r="N7" s="74"/>
    </row>
    <row r="8" spans="1:14" s="73" customFormat="1" outlineLevel="1">
      <c r="A8"/>
      <c r="B8"/>
      <c r="C8"/>
      <c r="D8" s="75"/>
      <c r="L8" s="74"/>
      <c r="M8" s="74"/>
      <c r="N8" s="74"/>
    </row>
    <row r="9" spans="1:14" s="73" customFormat="1" outlineLevel="1">
      <c r="A9"/>
      <c r="B9" t="s">
        <v>33</v>
      </c>
      <c r="C9" s="51">
        <f>SUMPRODUCT(C6:C7,D6:D7)</f>
        <v>550000</v>
      </c>
      <c r="D9" s="75"/>
      <c r="L9" s="74"/>
      <c r="M9" s="74"/>
      <c r="N9" s="74"/>
    </row>
    <row r="10" spans="1:14" s="73" customFormat="1" outlineLevel="1">
      <c r="A10"/>
      <c r="B10"/>
      <c r="C10"/>
      <c r="D10" s="75"/>
      <c r="L10" s="74"/>
      <c r="M10" s="74"/>
      <c r="N10" s="74"/>
    </row>
    <row r="11" spans="1:14" s="73" customFormat="1" ht="12.75" customHeight="1" outlineLevel="1">
      <c r="A11"/>
      <c r="B11" t="s">
        <v>128</v>
      </c>
      <c r="C11" s="59">
        <v>0.27</v>
      </c>
      <c r="D11" s="75"/>
      <c r="L11" s="74"/>
      <c r="M11" s="74"/>
      <c r="N11" s="74"/>
    </row>
    <row r="12" spans="1:14" s="73" customFormat="1" outlineLevel="1">
      <c r="A12"/>
      <c r="B12"/>
      <c r="C12"/>
      <c r="D12" s="75"/>
      <c r="L12" s="74"/>
      <c r="M12" s="74"/>
      <c r="N12" s="74"/>
    </row>
    <row r="13" spans="1:14" s="73" customFormat="1" outlineLevel="1">
      <c r="A13"/>
      <c r="B13" t="s">
        <v>99</v>
      </c>
      <c r="C13" s="51">
        <f>+C9/(1+C11)</f>
        <v>433070.86614173226</v>
      </c>
      <c r="D13" s="75"/>
      <c r="L13" s="74"/>
      <c r="M13" s="74"/>
      <c r="N13" s="74"/>
    </row>
    <row r="14" spans="1:14" outlineLevel="1">
      <c r="D14"/>
      <c r="E14"/>
      <c r="F14"/>
      <c r="G14"/>
      <c r="H14"/>
      <c r="I14"/>
      <c r="J14"/>
      <c r="K14"/>
      <c r="L14"/>
      <c r="M14"/>
      <c r="N14"/>
    </row>
    <row r="15" spans="1:14" outlineLevel="1">
      <c r="B15" s="76" t="s">
        <v>89</v>
      </c>
      <c r="C15" s="77" t="s">
        <v>90</v>
      </c>
      <c r="D15" s="214" t="s">
        <v>57</v>
      </c>
      <c r="E15" s="78"/>
      <c r="F15" s="79"/>
      <c r="G15"/>
      <c r="H15"/>
      <c r="I15"/>
      <c r="J15"/>
      <c r="K15"/>
      <c r="L15"/>
      <c r="M15"/>
      <c r="N15"/>
    </row>
    <row r="16" spans="1:14" outlineLevel="1">
      <c r="B16" s="80" t="s">
        <v>270</v>
      </c>
      <c r="C16" s="74" t="s">
        <v>274</v>
      </c>
      <c r="D16" s="73">
        <v>900000</v>
      </c>
      <c r="F16" s="81"/>
      <c r="G16"/>
      <c r="H16"/>
      <c r="I16"/>
      <c r="J16"/>
      <c r="K16"/>
      <c r="L16"/>
      <c r="M16"/>
      <c r="N16"/>
    </row>
    <row r="17" spans="1:14" outlineLevel="1">
      <c r="B17" s="80" t="s">
        <v>136</v>
      </c>
      <c r="C17" s="96" t="s">
        <v>137</v>
      </c>
      <c r="D17" s="73">
        <v>9.9999999999999978E-2</v>
      </c>
      <c r="F17" s="81"/>
      <c r="G17"/>
      <c r="H17"/>
      <c r="I17"/>
      <c r="J17"/>
      <c r="K17"/>
      <c r="L17"/>
      <c r="M17"/>
      <c r="N17"/>
    </row>
    <row r="18" spans="1:14" outlineLevel="1">
      <c r="B18" s="80" t="s">
        <v>91</v>
      </c>
      <c r="C18" s="74" t="s">
        <v>275</v>
      </c>
      <c r="D18" s="73">
        <v>-50000</v>
      </c>
      <c r="F18" s="81"/>
      <c r="G18"/>
      <c r="H18"/>
      <c r="I18"/>
      <c r="J18"/>
      <c r="K18"/>
      <c r="L18"/>
      <c r="M18"/>
      <c r="N18"/>
    </row>
    <row r="19" spans="1:14" outlineLevel="1">
      <c r="B19" s="80" t="s">
        <v>276</v>
      </c>
      <c r="C19" s="74" t="s">
        <v>277</v>
      </c>
      <c r="D19" s="73">
        <v>550000</v>
      </c>
      <c r="F19" s="81"/>
      <c r="G19"/>
      <c r="H19"/>
      <c r="I19"/>
      <c r="J19"/>
      <c r="K19"/>
      <c r="L19"/>
      <c r="M19"/>
      <c r="N19"/>
    </row>
    <row r="20" spans="1:14" s="73" customFormat="1" outlineLevel="1">
      <c r="A20"/>
      <c r="B20" s="82" t="s">
        <v>278</v>
      </c>
      <c r="C20" s="74" t="s">
        <v>279</v>
      </c>
      <c r="D20" s="73">
        <v>433071</v>
      </c>
      <c r="F20" s="81"/>
      <c r="L20" s="74"/>
      <c r="M20" s="74"/>
      <c r="N20" s="74"/>
    </row>
    <row r="21" spans="1:14" s="73" customFormat="1" outlineLevel="1">
      <c r="A21"/>
      <c r="B21" s="83"/>
      <c r="C21" s="84"/>
      <c r="D21" s="84"/>
      <c r="E21" s="84"/>
      <c r="F21" s="85"/>
      <c r="L21" s="74"/>
      <c r="M21" s="74"/>
      <c r="N21" s="74"/>
    </row>
    <row r="22" spans="1:14" s="73" customFormat="1" outlineLevel="1">
      <c r="A22"/>
      <c r="B22"/>
      <c r="C22"/>
      <c r="D22" s="86"/>
      <c r="L22" s="74"/>
      <c r="M22" s="74"/>
      <c r="N22" s="74"/>
    </row>
    <row r="23" spans="1:14" s="73" customFormat="1" outlineLevel="1">
      <c r="A23"/>
      <c r="B23"/>
      <c r="C23" s="3"/>
      <c r="L23" s="74"/>
      <c r="M23" s="74"/>
      <c r="N23" s="74"/>
    </row>
    <row r="24" spans="1:14" outlineLevel="1">
      <c r="C24" s="3"/>
      <c r="D24" s="376" t="s">
        <v>125</v>
      </c>
      <c r="E24" s="376"/>
      <c r="F24" s="376"/>
      <c r="G24" s="376"/>
      <c r="H24" s="376"/>
      <c r="I24" s="88" t="s">
        <v>126</v>
      </c>
      <c r="J24" s="377" t="s">
        <v>127</v>
      </c>
      <c r="K24" s="377"/>
      <c r="L24" s="377"/>
      <c r="M24" s="377"/>
      <c r="N24" s="377"/>
    </row>
    <row r="25" spans="1:14" ht="30" customHeight="1" outlineLevel="1">
      <c r="C25" s="54"/>
      <c r="D25" s="90" t="str">
        <f>"1/"&amp;1/D26</f>
        <v>1/-5</v>
      </c>
      <c r="E25" s="90" t="str">
        <f t="shared" ref="E25:H25" si="0">"1/"&amp;1/E26</f>
        <v>1/-10</v>
      </c>
      <c r="F25" s="90" t="str">
        <f t="shared" si="0"/>
        <v>1/-20</v>
      </c>
      <c r="G25" s="90" t="str">
        <f t="shared" si="0"/>
        <v>1/-40</v>
      </c>
      <c r="H25" s="90" t="str">
        <f t="shared" si="0"/>
        <v>1/-100</v>
      </c>
      <c r="I25" s="90">
        <v>0</v>
      </c>
      <c r="J25" s="90" t="str">
        <f>"1/"&amp;1/J26</f>
        <v>1/100</v>
      </c>
      <c r="K25" s="90" t="str">
        <f>"1/"&amp;1/K26</f>
        <v>1/40</v>
      </c>
      <c r="L25" s="90" t="str">
        <f>"1/"&amp;1/L26</f>
        <v>1/20</v>
      </c>
      <c r="M25" s="90" t="str">
        <f t="shared" ref="M25:N25" si="1">"1/"&amp;1/M26</f>
        <v>1/10</v>
      </c>
      <c r="N25" s="90" t="str">
        <f t="shared" si="1"/>
        <v>1/5</v>
      </c>
    </row>
    <row r="26" spans="1:14" outlineLevel="1">
      <c r="B26" s="55" t="e">
        <f>+#REF!</f>
        <v>#REF!</v>
      </c>
      <c r="C26" s="56">
        <f>+C13</f>
        <v>433070.86614173226</v>
      </c>
      <c r="D26" s="92">
        <f>-N26</f>
        <v>-0.2</v>
      </c>
      <c r="E26" s="92">
        <f>-M26</f>
        <v>-0.1</v>
      </c>
      <c r="F26" s="92">
        <f>-L26</f>
        <v>-0.05</v>
      </c>
      <c r="G26" s="92">
        <f>-K26</f>
        <v>-2.5000000000000001E-2</v>
      </c>
      <c r="H26" s="93">
        <f>-J26</f>
        <v>-0.01</v>
      </c>
      <c r="I26" s="92">
        <v>0</v>
      </c>
      <c r="J26" s="92">
        <v>0.01</v>
      </c>
      <c r="K26" s="92">
        <f>+J26*2.5</f>
        <v>2.5000000000000001E-2</v>
      </c>
      <c r="L26" s="92">
        <f>+K26*2</f>
        <v>0.05</v>
      </c>
      <c r="M26" s="92">
        <v>0.1</v>
      </c>
      <c r="N26" s="94">
        <v>0.2</v>
      </c>
    </row>
    <row r="27" spans="1:14" outlineLevel="1">
      <c r="B27" t="s">
        <v>102</v>
      </c>
      <c r="C27" s="48">
        <v>0</v>
      </c>
      <c r="D27" s="73">
        <f t="dataTable" ref="D27:N33" dt2D="1" dtr="1" r1="C11" r2="C7"/>
        <v>875000</v>
      </c>
      <c r="E27" s="73">
        <v>777777.77777777775</v>
      </c>
      <c r="F27" s="73">
        <v>736842.10526315798</v>
      </c>
      <c r="G27" s="73">
        <v>717948.717948718</v>
      </c>
      <c r="H27" s="73">
        <v>707070.70707070711</v>
      </c>
      <c r="I27" s="73">
        <v>700000</v>
      </c>
      <c r="J27" s="73">
        <v>693069.3069306931</v>
      </c>
      <c r="K27" s="73">
        <v>682926.82926829276</v>
      </c>
      <c r="L27" s="74">
        <v>666666.66666666663</v>
      </c>
      <c r="M27" s="74">
        <v>636363.63636363635</v>
      </c>
      <c r="N27" s="74">
        <v>583333.33333333337</v>
      </c>
    </row>
    <row r="28" spans="1:14" outlineLevel="1">
      <c r="B28" t="s">
        <v>103</v>
      </c>
      <c r="C28" s="48">
        <v>-10000</v>
      </c>
      <c r="D28" s="73">
        <v>871250</v>
      </c>
      <c r="E28" s="73">
        <v>774444.44444444438</v>
      </c>
      <c r="F28" s="73">
        <v>733684.21052631584</v>
      </c>
      <c r="G28" s="73">
        <v>714871.79487179487</v>
      </c>
      <c r="H28" s="73">
        <v>704040.40404040401</v>
      </c>
      <c r="I28" s="73">
        <v>697000</v>
      </c>
      <c r="J28" s="73">
        <v>690099.00990099006</v>
      </c>
      <c r="K28" s="73">
        <v>680000.00000000012</v>
      </c>
      <c r="L28" s="74">
        <v>663809.52380952379</v>
      </c>
      <c r="M28" s="74">
        <v>633636.36363636353</v>
      </c>
      <c r="N28" s="74">
        <v>580833.33333333337</v>
      </c>
    </row>
    <row r="29" spans="1:14" outlineLevel="1">
      <c r="B29" t="s">
        <v>104</v>
      </c>
      <c r="C29" s="48">
        <v>-100000</v>
      </c>
      <c r="D29" s="73">
        <v>837500</v>
      </c>
      <c r="E29" s="73">
        <v>744444.44444444438</v>
      </c>
      <c r="F29" s="73">
        <v>705263.15789473685</v>
      </c>
      <c r="G29" s="73">
        <v>687179.48717948725</v>
      </c>
      <c r="H29" s="73">
        <v>676767.67676767672</v>
      </c>
      <c r="I29" s="73">
        <v>670000</v>
      </c>
      <c r="J29" s="73">
        <v>663366.33663366339</v>
      </c>
      <c r="K29" s="73">
        <v>653658.53658536589</v>
      </c>
      <c r="L29" s="74">
        <v>638095.23809523811</v>
      </c>
      <c r="M29" s="74">
        <v>609090.90909090906</v>
      </c>
      <c r="N29" s="74">
        <v>558333.33333333337</v>
      </c>
    </row>
    <row r="30" spans="1:14" outlineLevel="1">
      <c r="B30" t="s">
        <v>105</v>
      </c>
      <c r="C30" s="48">
        <v>-250000</v>
      </c>
      <c r="D30" s="73">
        <v>781250</v>
      </c>
      <c r="E30" s="73">
        <v>694444.44444444438</v>
      </c>
      <c r="F30" s="73">
        <v>657894.73684210528</v>
      </c>
      <c r="G30" s="73">
        <v>641025.641025641</v>
      </c>
      <c r="H30" s="73">
        <v>631313.13131313131</v>
      </c>
      <c r="I30" s="73">
        <v>625000</v>
      </c>
      <c r="J30" s="73">
        <v>618811.88118811883</v>
      </c>
      <c r="K30" s="73">
        <v>609756.0975609757</v>
      </c>
      <c r="L30" s="74">
        <v>595238.09523809527</v>
      </c>
      <c r="M30" s="74">
        <v>568181.81818181812</v>
      </c>
      <c r="N30" s="74">
        <v>520833.33333333337</v>
      </c>
    </row>
    <row r="31" spans="1:14" outlineLevel="1">
      <c r="B31" t="s">
        <v>107</v>
      </c>
      <c r="C31" s="48">
        <v>-500000</v>
      </c>
      <c r="D31" s="73">
        <v>687500</v>
      </c>
      <c r="E31" s="73">
        <v>611111.11111111112</v>
      </c>
      <c r="F31" s="73">
        <v>578947.3684210527</v>
      </c>
      <c r="G31" s="73">
        <v>564102.56410256412</v>
      </c>
      <c r="H31" s="73">
        <v>555555.5555555555</v>
      </c>
      <c r="I31" s="73">
        <v>550000</v>
      </c>
      <c r="J31" s="73">
        <v>544554.45544554456</v>
      </c>
      <c r="K31" s="73">
        <v>536585.36585365853</v>
      </c>
      <c r="L31" s="74">
        <v>523809.52380952379</v>
      </c>
      <c r="M31" s="74">
        <v>499999.99999999994</v>
      </c>
      <c r="N31" s="74">
        <v>458333.33333333337</v>
      </c>
    </row>
    <row r="32" spans="1:14" outlineLevel="1">
      <c r="B32" t="s">
        <v>108</v>
      </c>
      <c r="C32" s="48">
        <v>-750000</v>
      </c>
      <c r="D32" s="73">
        <v>593750</v>
      </c>
      <c r="E32" s="73">
        <v>527777.77777777775</v>
      </c>
      <c r="F32" s="73">
        <v>500000</v>
      </c>
      <c r="G32" s="73">
        <v>487179.48717948719</v>
      </c>
      <c r="H32" s="73">
        <v>479797.97979797982</v>
      </c>
      <c r="I32" s="73">
        <v>475000</v>
      </c>
      <c r="J32" s="73">
        <v>470297.02970297029</v>
      </c>
      <c r="K32" s="73">
        <v>463414.63414634153</v>
      </c>
      <c r="L32" s="74">
        <v>452380.95238095237</v>
      </c>
      <c r="M32" s="74">
        <v>431818.18181818177</v>
      </c>
      <c r="N32" s="74">
        <v>395833.33333333337</v>
      </c>
    </row>
    <row r="33" spans="1:18" s="8" customFormat="1" outlineLevel="1">
      <c r="A33"/>
      <c r="B33" t="s">
        <v>109</v>
      </c>
      <c r="C33" s="48">
        <v>-1000000</v>
      </c>
      <c r="D33" s="73">
        <v>499999.99999999988</v>
      </c>
      <c r="E33" s="73">
        <v>444444.44444444438</v>
      </c>
      <c r="F33" s="73">
        <v>421052.6315789473</v>
      </c>
      <c r="G33" s="73">
        <v>410256.41025641019</v>
      </c>
      <c r="H33" s="73">
        <v>404040.40404040401</v>
      </c>
      <c r="I33" s="73">
        <v>399999.99999999994</v>
      </c>
      <c r="J33" s="73">
        <v>396039.60396039597</v>
      </c>
      <c r="K33" s="73">
        <v>390243.90243902436</v>
      </c>
      <c r="L33" s="73">
        <v>380952.38095238089</v>
      </c>
      <c r="M33" s="73">
        <v>363636.36363636353</v>
      </c>
      <c r="N33" s="73">
        <v>333333.33333333331</v>
      </c>
    </row>
    <row r="34" spans="1:18" s="8" customFormat="1" outlineLevel="1">
      <c r="A34"/>
      <c r="B34"/>
      <c r="D34" s="73"/>
      <c r="E34" s="73"/>
      <c r="F34" s="73"/>
      <c r="G34" s="73"/>
      <c r="H34" s="73"/>
      <c r="I34" s="73"/>
      <c r="J34" s="73"/>
      <c r="K34" s="73"/>
      <c r="L34" s="73"/>
      <c r="M34" s="73"/>
      <c r="N34" s="73"/>
    </row>
    <row r="35" spans="1:18" s="8" customFormat="1">
      <c r="A35"/>
      <c r="D35" s="73"/>
      <c r="E35" s="73"/>
      <c r="F35" s="73"/>
      <c r="G35" s="73"/>
      <c r="H35" s="73"/>
      <c r="I35" s="73"/>
      <c r="J35" s="73"/>
      <c r="K35" s="73"/>
      <c r="L35" s="73"/>
      <c r="M35" s="73"/>
      <c r="N35" s="73"/>
    </row>
    <row r="38" spans="1:18" s="8" customFormat="1">
      <c r="A38" s="95" t="s">
        <v>134</v>
      </c>
      <c r="C38"/>
      <c r="D38"/>
      <c r="E38"/>
      <c r="F38"/>
      <c r="G38"/>
      <c r="H38"/>
      <c r="I38"/>
      <c r="J38"/>
      <c r="K38"/>
    </row>
    <row r="39" spans="1:18" ht="21" customHeight="1">
      <c r="C39" s="7" t="s">
        <v>57</v>
      </c>
      <c r="D39" s="7" t="s">
        <v>58</v>
      </c>
      <c r="E39" s="91" t="s">
        <v>12</v>
      </c>
      <c r="F39"/>
      <c r="G39"/>
      <c r="H39"/>
      <c r="I39"/>
      <c r="J39"/>
      <c r="K39"/>
      <c r="L39" s="106" t="s">
        <v>141</v>
      </c>
    </row>
    <row r="40" spans="1:18" s="74" customFormat="1" ht="13.5" customHeight="1">
      <c r="A40"/>
      <c r="B40" t="s">
        <v>129</v>
      </c>
      <c r="C40" s="50">
        <v>5000000</v>
      </c>
      <c r="D40" s="49">
        <v>0.2</v>
      </c>
      <c r="E40" s="91">
        <f>+D40*C40</f>
        <v>1000000</v>
      </c>
      <c r="F40"/>
      <c r="G40"/>
      <c r="H40"/>
      <c r="I40"/>
      <c r="J40"/>
      <c r="K40"/>
      <c r="L40"/>
      <c r="M40"/>
      <c r="N40"/>
      <c r="O40" s="104">
        <f>+D40</f>
        <v>0.2</v>
      </c>
      <c r="P40"/>
      <c r="Q40"/>
      <c r="R40"/>
    </row>
    <row r="41" spans="1:18" s="74" customFormat="1">
      <c r="A41"/>
      <c r="B41" t="s">
        <v>130</v>
      </c>
      <c r="C41" s="50">
        <v>3500000</v>
      </c>
      <c r="D41" s="49">
        <v>0.5</v>
      </c>
      <c r="E41" s="91">
        <f>+D41*C41</f>
        <v>1750000</v>
      </c>
      <c r="F41"/>
      <c r="L41"/>
      <c r="M41"/>
      <c r="N41"/>
      <c r="O41" s="66" t="str">
        <f>+B40</f>
        <v>High Revenue</v>
      </c>
      <c r="P41"/>
      <c r="Q41"/>
      <c r="R41"/>
    </row>
    <row r="42" spans="1:18" s="74" customFormat="1">
      <c r="A42"/>
      <c r="B42" t="s">
        <v>131</v>
      </c>
      <c r="C42" s="50">
        <v>1000000</v>
      </c>
      <c r="D42" s="49">
        <v>0.2</v>
      </c>
      <c r="E42" s="91">
        <f t="shared" ref="E42:E43" si="2">+D42*C42</f>
        <v>200000</v>
      </c>
      <c r="F42"/>
      <c r="L42"/>
      <c r="M42"/>
      <c r="N42"/>
      <c r="O42"/>
      <c r="P42"/>
      <c r="Q42"/>
      <c r="R42" s="100">
        <f>SUM(O43)</f>
        <v>5000000</v>
      </c>
    </row>
    <row r="43" spans="1:18" s="74" customFormat="1">
      <c r="A43"/>
      <c r="B43" s="74" t="s">
        <v>101</v>
      </c>
      <c r="C43" s="50">
        <v>-500000</v>
      </c>
      <c r="D43" s="49">
        <v>0.1</v>
      </c>
      <c r="E43" s="91">
        <f t="shared" si="2"/>
        <v>-50000</v>
      </c>
      <c r="F43"/>
      <c r="L43"/>
      <c r="M43"/>
      <c r="N43"/>
      <c r="O43" s="105">
        <f>+C40</f>
        <v>5000000</v>
      </c>
      <c r="P43" s="48">
        <f>R42</f>
        <v>5000000</v>
      </c>
      <c r="Q43"/>
      <c r="R43"/>
    </row>
    <row r="44" spans="1:18" s="74" customFormat="1">
      <c r="A44"/>
      <c r="D44" s="75"/>
      <c r="E44" s="73"/>
      <c r="F44"/>
      <c r="L44"/>
      <c r="M44"/>
      <c r="N44"/>
      <c r="O44"/>
      <c r="P44"/>
      <c r="Q44"/>
      <c r="R44"/>
    </row>
    <row r="45" spans="1:18" s="74" customFormat="1">
      <c r="A45"/>
      <c r="B45" t="s">
        <v>33</v>
      </c>
      <c r="C45" s="51">
        <f>SUM(E40:E43)</f>
        <v>2900000</v>
      </c>
      <c r="D45" s="75"/>
      <c r="E45" s="73"/>
      <c r="F45"/>
      <c r="L45"/>
      <c r="M45"/>
      <c r="N45"/>
      <c r="O45" s="104">
        <f>+D41</f>
        <v>0.5</v>
      </c>
      <c r="P45"/>
      <c r="Q45"/>
      <c r="R45"/>
    </row>
    <row r="46" spans="1:18" s="74" customFormat="1">
      <c r="A46"/>
      <c r="D46" s="75"/>
      <c r="E46" s="73"/>
      <c r="F46"/>
      <c r="L46"/>
      <c r="M46"/>
      <c r="N46"/>
      <c r="O46" s="66" t="str">
        <f>+B41</f>
        <v>Expected Revenue</v>
      </c>
      <c r="P46"/>
      <c r="Q46"/>
      <c r="R46"/>
    </row>
    <row r="47" spans="1:18" s="74" customFormat="1">
      <c r="A47"/>
      <c r="B47" s="74" t="s">
        <v>138</v>
      </c>
      <c r="C47" s="59">
        <v>3.3799999999999997E-2</v>
      </c>
      <c r="D47" s="75"/>
      <c r="E47" s="73"/>
      <c r="F47"/>
      <c r="L47"/>
      <c r="M47"/>
      <c r="N47"/>
      <c r="O47"/>
      <c r="P47"/>
      <c r="Q47"/>
      <c r="R47" s="100">
        <f>SUM(O48)</f>
        <v>3500000</v>
      </c>
    </row>
    <row r="48" spans="1:18" s="74" customFormat="1">
      <c r="A48"/>
      <c r="B48" t="s">
        <v>128</v>
      </c>
      <c r="C48" s="59">
        <v>0.1</v>
      </c>
      <c r="D48"/>
      <c r="E48"/>
      <c r="F48"/>
      <c r="L48"/>
      <c r="M48"/>
      <c r="N48"/>
      <c r="O48" s="105">
        <f>+C41</f>
        <v>3500000</v>
      </c>
      <c r="P48" s="48">
        <f>R47</f>
        <v>3500000</v>
      </c>
      <c r="Q48"/>
      <c r="R48"/>
    </row>
    <row r="49" spans="1:18" s="74" customFormat="1">
      <c r="A49"/>
      <c r="B49"/>
      <c r="C49"/>
      <c r="D49"/>
      <c r="E49"/>
      <c r="F49"/>
      <c r="L49"/>
      <c r="M49"/>
      <c r="N49"/>
      <c r="O49"/>
      <c r="P49"/>
      <c r="Q49"/>
      <c r="R49"/>
    </row>
    <row r="50" spans="1:18" s="74" customFormat="1">
      <c r="A50"/>
      <c r="B50" t="s">
        <v>99</v>
      </c>
      <c r="C50" s="51">
        <f>+C45/(1+(C48+C47))</f>
        <v>2557770.3298641737</v>
      </c>
      <c r="D50"/>
      <c r="E50"/>
      <c r="F50"/>
      <c r="L50" s="101">
        <f>IF(ABS(1-(O40+O45+O50+O55))&lt;=0.00001,O40*P43+O45*P48+O50*P53+O55*P58,NA())</f>
        <v>2900000</v>
      </c>
      <c r="M50"/>
      <c r="N50"/>
      <c r="O50" s="104">
        <f>+D42</f>
        <v>0.2</v>
      </c>
      <c r="P50"/>
      <c r="Q50"/>
      <c r="R50"/>
    </row>
    <row r="51" spans="1:18" s="74" customFormat="1">
      <c r="A51"/>
      <c r="D51"/>
      <c r="E51"/>
      <c r="F51"/>
      <c r="L51"/>
      <c r="M51"/>
      <c r="N51"/>
      <c r="O51" s="66" t="str">
        <f>+B42</f>
        <v>Low Revenue</v>
      </c>
      <c r="P51"/>
      <c r="Q51"/>
      <c r="R51"/>
    </row>
    <row r="52" spans="1:18" s="74" customFormat="1">
      <c r="A52"/>
      <c r="L52"/>
      <c r="M52"/>
      <c r="N52"/>
      <c r="O52"/>
      <c r="P52"/>
      <c r="Q52"/>
      <c r="R52" s="100">
        <f>SUM(O53)</f>
        <v>1000000</v>
      </c>
    </row>
    <row r="53" spans="1:18" s="74" customFormat="1">
      <c r="A53"/>
      <c r="C53" s="88" t="s">
        <v>126</v>
      </c>
      <c r="D53" s="89" t="s">
        <v>127</v>
      </c>
      <c r="E53" s="97"/>
      <c r="F53" s="98"/>
      <c r="G53" s="87"/>
      <c r="H53" s="99" t="s">
        <v>125</v>
      </c>
      <c r="L53"/>
      <c r="M53"/>
      <c r="N53"/>
      <c r="O53" s="105">
        <f>+C42</f>
        <v>1000000</v>
      </c>
      <c r="P53" s="48">
        <f>R52</f>
        <v>1000000</v>
      </c>
      <c r="Q53"/>
      <c r="R53"/>
    </row>
    <row r="54" spans="1:18" s="74" customFormat="1">
      <c r="A54"/>
      <c r="B54" s="74" t="s">
        <v>139</v>
      </c>
      <c r="C54" s="92">
        <f>+C47</f>
        <v>3.3799999999999997E-2</v>
      </c>
      <c r="D54" s="92">
        <v>0.05</v>
      </c>
      <c r="E54" s="92">
        <f>+D54*2.5</f>
        <v>0.125</v>
      </c>
      <c r="F54" s="92">
        <f>+E54*2</f>
        <v>0.25</v>
      </c>
      <c r="G54" s="92">
        <v>0.33300000000000002</v>
      </c>
      <c r="H54" s="92">
        <v>0.5</v>
      </c>
      <c r="L54"/>
      <c r="M54"/>
      <c r="N54"/>
      <c r="O54"/>
      <c r="P54"/>
      <c r="Q54"/>
      <c r="R54"/>
    </row>
    <row r="55" spans="1:18">
      <c r="B55" s="74" t="s">
        <v>99</v>
      </c>
      <c r="C55" s="73">
        <f t="shared" ref="C55:H55" si="3">+$C$45/(1+C54)</f>
        <v>2805184.7552718124</v>
      </c>
      <c r="D55" s="73">
        <f t="shared" si="3"/>
        <v>2761904.7619047617</v>
      </c>
      <c r="E55" s="73">
        <f t="shared" si="3"/>
        <v>2577777.777777778</v>
      </c>
      <c r="F55" s="73">
        <f t="shared" si="3"/>
        <v>2320000</v>
      </c>
      <c r="G55" s="73">
        <f t="shared" si="3"/>
        <v>2175543.8859714931</v>
      </c>
      <c r="H55" s="73">
        <f t="shared" si="3"/>
        <v>1933333.3333333333</v>
      </c>
      <c r="L55"/>
      <c r="M55"/>
      <c r="N55"/>
      <c r="O55" s="104">
        <f>+D43</f>
        <v>0.1</v>
      </c>
    </row>
    <row r="56" spans="1:18">
      <c r="B56" t="s">
        <v>140</v>
      </c>
      <c r="C56" s="1">
        <f>+C55-$C$45</f>
        <v>-94815.244728187565</v>
      </c>
      <c r="D56" s="1">
        <f t="shared" ref="D56" si="4">+D55-$C$45</f>
        <v>-138095.23809523834</v>
      </c>
      <c r="E56" s="1">
        <f t="shared" ref="E56" si="5">+E55-$C$45</f>
        <v>-322222.22222222202</v>
      </c>
      <c r="F56" s="1">
        <f t="shared" ref="F56" si="6">+F55-$C$45</f>
        <v>-580000</v>
      </c>
      <c r="G56" s="1">
        <f t="shared" ref="G56:H56" si="7">+G55-$C$45</f>
        <v>-724456.11402850691</v>
      </c>
      <c r="H56" s="1">
        <f t="shared" si="7"/>
        <v>-966666.66666666674</v>
      </c>
      <c r="I56"/>
      <c r="J56"/>
      <c r="K56"/>
      <c r="L56"/>
      <c r="M56"/>
      <c r="N56"/>
      <c r="O56" s="103" t="str">
        <f>+B43</f>
        <v>Loss</v>
      </c>
    </row>
    <row r="57" spans="1:18">
      <c r="D57"/>
      <c r="E57"/>
      <c r="F57"/>
      <c r="G57"/>
      <c r="H57"/>
      <c r="I57"/>
      <c r="J57"/>
      <c r="K57"/>
      <c r="L57"/>
      <c r="M57"/>
      <c r="N57"/>
      <c r="R57" s="100">
        <f>SUM(O58)</f>
        <v>-500000</v>
      </c>
    </row>
    <row r="58" spans="1:18">
      <c r="D58"/>
      <c r="E58"/>
      <c r="F58"/>
      <c r="G58"/>
      <c r="H58"/>
      <c r="I58"/>
      <c r="J58"/>
      <c r="K58"/>
      <c r="L58"/>
      <c r="M58"/>
      <c r="N58"/>
      <c r="O58" s="105">
        <f>+C43</f>
        <v>-500000</v>
      </c>
      <c r="P58" s="48">
        <f>R57</f>
        <v>-500000</v>
      </c>
    </row>
    <row r="59" spans="1:18">
      <c r="D59"/>
      <c r="E59"/>
      <c r="F59"/>
      <c r="G59"/>
      <c r="H59"/>
      <c r="I59"/>
      <c r="J59"/>
      <c r="K59"/>
    </row>
    <row r="75" spans="2:5">
      <c r="B75" s="118" t="s">
        <v>149</v>
      </c>
      <c r="C75" s="119" t="s">
        <v>150</v>
      </c>
      <c r="D75" s="119" t="s">
        <v>151</v>
      </c>
      <c r="E75" s="119" t="s">
        <v>152</v>
      </c>
    </row>
    <row r="76" spans="2:5">
      <c r="B76" s="118" t="s">
        <v>147</v>
      </c>
      <c r="C76" s="109" t="s">
        <v>148</v>
      </c>
      <c r="D76" s="110">
        <v>0</v>
      </c>
      <c r="E76" s="111">
        <f>+C45</f>
        <v>2900000</v>
      </c>
    </row>
    <row r="77" spans="2:5">
      <c r="B77" s="114"/>
      <c r="C77" s="113"/>
      <c r="D77" s="113"/>
      <c r="E77" s="113"/>
    </row>
    <row r="78" spans="2:5">
      <c r="B78" s="115" t="s">
        <v>142</v>
      </c>
      <c r="C78" s="112" t="s">
        <v>145</v>
      </c>
      <c r="D78" s="116">
        <v>0.3</v>
      </c>
      <c r="E78" s="113">
        <f>+$C$45/(1+D78)</f>
        <v>2230769.2307692305</v>
      </c>
    </row>
    <row r="79" spans="2:5">
      <c r="B79" s="115" t="s">
        <v>143</v>
      </c>
      <c r="C79" s="112" t="s">
        <v>146</v>
      </c>
      <c r="D79" s="116">
        <v>0.05</v>
      </c>
      <c r="E79" s="113">
        <f t="shared" ref="E79:E80" si="8">+$C$45/(1+D79)</f>
        <v>2761904.7619047617</v>
      </c>
    </row>
    <row r="80" spans="2:5">
      <c r="B80" s="115" t="s">
        <v>144</v>
      </c>
      <c r="C80" s="112" t="s">
        <v>126</v>
      </c>
      <c r="D80" s="116">
        <f>+C54</f>
        <v>3.3799999999999997E-2</v>
      </c>
      <c r="E80" s="113">
        <f t="shared" si="8"/>
        <v>2805184.7552718124</v>
      </c>
    </row>
    <row r="81" spans="2:5">
      <c r="B81" s="114"/>
      <c r="C81" s="113"/>
      <c r="D81" s="113"/>
      <c r="E81" s="113"/>
    </row>
    <row r="82" spans="2:5">
      <c r="B82" s="120" t="s">
        <v>153</v>
      </c>
      <c r="C82" s="121"/>
      <c r="D82" s="122">
        <f>AVERAGE(D78:D80)</f>
        <v>0.12793333333333332</v>
      </c>
      <c r="E82" s="124">
        <f>AVERAGE(E78:E80)</f>
        <v>2599286.2493152679</v>
      </c>
    </row>
    <row r="83" spans="2:5">
      <c r="C83" s="73"/>
    </row>
    <row r="84" spans="2:5">
      <c r="B84" s="102" t="s">
        <v>154</v>
      </c>
      <c r="C84" s="73"/>
      <c r="E84" s="72">
        <f>+E82-E76</f>
        <v>-300713.75068473211</v>
      </c>
    </row>
    <row r="1000" spans="190:204">
      <c r="GH1000" s="44" t="s">
        <v>55</v>
      </c>
      <c r="GI1000" s="44" t="s">
        <v>56</v>
      </c>
      <c r="GJ1000" s="44" t="s">
        <v>57</v>
      </c>
      <c r="GK1000" s="44" t="s">
        <v>58</v>
      </c>
      <c r="GL1000" s="44" t="s">
        <v>59</v>
      </c>
      <c r="GM1000" s="44" t="s">
        <v>60</v>
      </c>
      <c r="GN1000" s="44" t="s">
        <v>61</v>
      </c>
      <c r="GO1000" s="44" t="s">
        <v>62</v>
      </c>
      <c r="GP1000" s="44" t="s">
        <v>63</v>
      </c>
      <c r="GQ1000" s="44" t="s">
        <v>64</v>
      </c>
      <c r="GR1000" s="44" t="s">
        <v>65</v>
      </c>
      <c r="GS1000" s="44" t="s">
        <v>66</v>
      </c>
      <c r="GT1000" s="44" t="s">
        <v>67</v>
      </c>
      <c r="GU1000" s="44" t="s">
        <v>68</v>
      </c>
      <c r="GV1000" s="44" t="s">
        <v>69</v>
      </c>
    </row>
    <row r="1001" spans="190:204">
      <c r="GH1001" s="44">
        <v>0</v>
      </c>
      <c r="GI1001" s="44" t="s">
        <v>70</v>
      </c>
      <c r="GJ1001" s="44">
        <v>0</v>
      </c>
      <c r="GK1001" s="44">
        <v>0</v>
      </c>
      <c r="GL1001" s="44">
        <v>0</v>
      </c>
      <c r="GM1001" s="44" t="s">
        <v>72</v>
      </c>
      <c r="GN1001" s="44">
        <v>4</v>
      </c>
      <c r="GO1001" s="44">
        <v>1</v>
      </c>
      <c r="GP1001" s="44">
        <v>2</v>
      </c>
      <c r="GQ1001" s="44">
        <v>3</v>
      </c>
      <c r="GR1001" s="44">
        <v>4</v>
      </c>
      <c r="GS1001" s="44">
        <v>0</v>
      </c>
      <c r="GT1001" s="45">
        <v>9</v>
      </c>
      <c r="GU1001" s="45">
        <v>1</v>
      </c>
      <c r="GV1001" s="45" t="b">
        <v>1</v>
      </c>
    </row>
    <row r="1002" spans="190:204">
      <c r="GH1002" s="44">
        <v>1</v>
      </c>
      <c r="GL1002" s="44">
        <v>0</v>
      </c>
      <c r="GM1002" s="44" t="s">
        <v>73</v>
      </c>
      <c r="GN1002" s="44">
        <v>0</v>
      </c>
      <c r="GO1002" s="44">
        <v>0</v>
      </c>
      <c r="GP1002" s="44">
        <v>0</v>
      </c>
      <c r="GQ1002" s="44">
        <v>0</v>
      </c>
      <c r="GR1002" s="44">
        <v>0</v>
      </c>
      <c r="GS1002" s="44">
        <v>0</v>
      </c>
      <c r="GT1002" s="45">
        <v>2</v>
      </c>
      <c r="GU1002" s="45">
        <v>5</v>
      </c>
      <c r="GV1002" s="45" t="b">
        <v>1</v>
      </c>
    </row>
    <row r="1003" spans="190:204">
      <c r="GH1003" s="44">
        <v>2</v>
      </c>
      <c r="GL1003" s="44">
        <v>0</v>
      </c>
      <c r="GM1003" s="44" t="s">
        <v>73</v>
      </c>
      <c r="GN1003" s="44">
        <v>0</v>
      </c>
      <c r="GO1003" s="44">
        <v>0</v>
      </c>
      <c r="GP1003" s="44">
        <v>0</v>
      </c>
      <c r="GQ1003" s="44">
        <v>0</v>
      </c>
      <c r="GR1003" s="44">
        <v>0</v>
      </c>
      <c r="GS1003" s="44">
        <v>0</v>
      </c>
      <c r="GT1003" s="45">
        <v>7</v>
      </c>
      <c r="GU1003" s="45">
        <v>5</v>
      </c>
      <c r="GV1003" s="45" t="b">
        <v>1</v>
      </c>
    </row>
    <row r="1004" spans="190:204">
      <c r="GH1004">
        <v>3</v>
      </c>
      <c r="GL1004">
        <v>0</v>
      </c>
      <c r="GM1004" t="s">
        <v>73</v>
      </c>
      <c r="GN1004">
        <v>0</v>
      </c>
      <c r="GO1004">
        <v>0</v>
      </c>
      <c r="GP1004">
        <v>0</v>
      </c>
      <c r="GQ1004">
        <v>0</v>
      </c>
      <c r="GR1004">
        <v>0</v>
      </c>
      <c r="GS1004">
        <v>0</v>
      </c>
      <c r="GT1004">
        <v>12</v>
      </c>
      <c r="GU1004">
        <v>5</v>
      </c>
      <c r="GV1004" t="b">
        <v>1</v>
      </c>
    </row>
    <row r="1005" spans="190:204">
      <c r="GH1005">
        <v>4</v>
      </c>
      <c r="GL1005">
        <v>0</v>
      </c>
      <c r="GM1005" t="s">
        <v>73</v>
      </c>
      <c r="GN1005">
        <v>0</v>
      </c>
      <c r="GO1005">
        <v>0</v>
      </c>
      <c r="GP1005">
        <v>0</v>
      </c>
      <c r="GQ1005">
        <v>0</v>
      </c>
      <c r="GR1005">
        <v>0</v>
      </c>
      <c r="GS1005">
        <v>0</v>
      </c>
      <c r="GT1005">
        <v>17</v>
      </c>
      <c r="GU1005">
        <v>5</v>
      </c>
      <c r="GV1005" t="b">
        <v>1</v>
      </c>
    </row>
  </sheetData>
  <mergeCells count="2">
    <mergeCell ref="D24:H24"/>
    <mergeCell ref="J24:N24"/>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E625C-ECFC-47F1-9852-E5C1702B505C}">
  <sheetPr codeName="Sheet13"/>
  <dimension ref="A1:N66"/>
  <sheetViews>
    <sheetView showGridLines="0" topLeftCell="C1" zoomScale="120" zoomScaleNormal="120" workbookViewId="0">
      <selection activeCell="I3" sqref="I3"/>
    </sheetView>
  </sheetViews>
  <sheetFormatPr defaultRowHeight="15"/>
  <cols>
    <col min="1" max="1" width="3.28515625" customWidth="1"/>
    <col min="2" max="2" width="27.7109375" customWidth="1"/>
    <col min="3" max="3" width="14.85546875" customWidth="1"/>
    <col min="4" max="4" width="13.85546875" style="73" customWidth="1"/>
    <col min="5" max="5" width="12.28515625" style="73" customWidth="1"/>
    <col min="6" max="6" width="13.28515625" style="73" customWidth="1"/>
    <col min="7" max="7" width="12.85546875" style="73" customWidth="1"/>
    <col min="8" max="11" width="12.28515625" style="73" customWidth="1"/>
    <col min="12" max="12" width="12.28515625" style="74" customWidth="1"/>
    <col min="13" max="14" width="15.7109375" style="74" customWidth="1"/>
    <col min="15" max="15" width="12.7109375" customWidth="1"/>
  </cols>
  <sheetData>
    <row r="1" spans="1:12" ht="23.25">
      <c r="A1" s="46" t="s">
        <v>256</v>
      </c>
    </row>
    <row r="2" spans="1:12" ht="16.5" customHeight="1">
      <c r="A2" t="s">
        <v>95</v>
      </c>
    </row>
    <row r="3" spans="1:12">
      <c r="C3" s="7" t="s">
        <v>57</v>
      </c>
      <c r="D3" s="7" t="s">
        <v>58</v>
      </c>
      <c r="E3" s="7" t="s">
        <v>12</v>
      </c>
    </row>
    <row r="4" spans="1:12">
      <c r="B4" s="5" t="s">
        <v>88</v>
      </c>
      <c r="C4" s="50">
        <v>10000</v>
      </c>
      <c r="D4" s="49">
        <v>0.9</v>
      </c>
      <c r="E4" s="91">
        <f>+C4*D4</f>
        <v>9000</v>
      </c>
      <c r="F4" s="108">
        <f>IF($C$10=0.5,(E4-$C$5)/($C$4-$C$5),$C$12*(1-$C$11^(-2*(E4-$C$5)/($C$4-C5))))</f>
        <v>0.93333333333333335</v>
      </c>
      <c r="G4" s="107">
        <f>+F4*D4+D5*F5</f>
        <v>0.87000000000000011</v>
      </c>
    </row>
    <row r="5" spans="1:12">
      <c r="B5" s="5" t="s">
        <v>100</v>
      </c>
      <c r="C5" s="50">
        <v>-5000</v>
      </c>
      <c r="D5" s="212">
        <f>1-D4</f>
        <v>9.9999999999999978E-2</v>
      </c>
      <c r="E5" s="91">
        <f>D5*C5</f>
        <v>-499.99999999999989</v>
      </c>
      <c r="F5" s="108">
        <f>IF($C$10=0.5,(E5-$C$5)/($C$4-$C$5),$C$12*(1-$C$11^(-2*(E5-$C$5)/($C$4-C6))))</f>
        <v>0.3</v>
      </c>
      <c r="J5" s="91" t="s">
        <v>292</v>
      </c>
    </row>
    <row r="6" spans="1:12">
      <c r="D6" s="75"/>
      <c r="J6" s="224" t="s">
        <v>231</v>
      </c>
      <c r="K6" s="225" t="s">
        <v>57</v>
      </c>
      <c r="L6" s="226" t="s">
        <v>255</v>
      </c>
    </row>
    <row r="7" spans="1:12">
      <c r="B7" t="s">
        <v>12</v>
      </c>
      <c r="C7" s="51">
        <f>SUMPRODUCT(C4:C5,D4:D5)</f>
        <v>8500</v>
      </c>
      <c r="D7" s="75"/>
      <c r="J7" s="227">
        <f>IF($C$10=0.5,(K7-$C$5)/($C$4-$C$5),$C$12*(1-$C$11^(-2*(K7-$C$5)/($C$4-C5))))</f>
        <v>1</v>
      </c>
      <c r="K7" s="228">
        <f>+C4</f>
        <v>10000</v>
      </c>
      <c r="L7" s="229">
        <f>+K7^2</f>
        <v>100000000</v>
      </c>
    </row>
    <row r="8" spans="1:12">
      <c r="B8" s="202" t="s">
        <v>258</v>
      </c>
      <c r="E8" s="91"/>
      <c r="F8" s="91"/>
      <c r="G8" s="91"/>
      <c r="J8" s="227">
        <f t="shared" ref="J8:J27" si="0">IF($C$10=0.5,(K8-$C$5)/($C$4-$C$5),$C$12*(1-$C$11^(-2*(K8-$C$5)/($C$4-$C$5))))</f>
        <v>0.95</v>
      </c>
      <c r="K8" s="228">
        <f t="shared" ref="K8:K27" si="1">+K7-$C$13</f>
        <v>9250</v>
      </c>
      <c r="L8" s="229">
        <f t="shared" ref="L8:L27" si="2">+K8^2</f>
        <v>85562500</v>
      </c>
    </row>
    <row r="9" spans="1:12" ht="12.75" customHeight="1">
      <c r="D9" s="75"/>
      <c r="J9" s="227">
        <f t="shared" si="0"/>
        <v>0.9</v>
      </c>
      <c r="K9" s="228">
        <f t="shared" si="1"/>
        <v>8500</v>
      </c>
      <c r="L9" s="229">
        <f t="shared" si="2"/>
        <v>72250000</v>
      </c>
    </row>
    <row r="10" spans="1:12">
      <c r="B10" s="5" t="s">
        <v>253</v>
      </c>
      <c r="C10" s="151">
        <v>0.5</v>
      </c>
      <c r="D10" s="75"/>
      <c r="J10" s="227">
        <f t="shared" si="0"/>
        <v>0.85</v>
      </c>
      <c r="K10" s="228">
        <f t="shared" si="1"/>
        <v>7750</v>
      </c>
      <c r="L10" s="229">
        <f t="shared" si="2"/>
        <v>60062500</v>
      </c>
    </row>
    <row r="11" spans="1:12">
      <c r="B11" s="5" t="s">
        <v>238</v>
      </c>
      <c r="C11" s="178">
        <f>+C10/(1-C10)</f>
        <v>1</v>
      </c>
      <c r="D11" s="75"/>
      <c r="J11" s="227">
        <f t="shared" si="0"/>
        <v>0.8</v>
      </c>
      <c r="K11" s="228">
        <f t="shared" si="1"/>
        <v>7000</v>
      </c>
      <c r="L11" s="229">
        <f t="shared" si="2"/>
        <v>49000000</v>
      </c>
    </row>
    <row r="12" spans="1:12">
      <c r="B12" s="5" t="s">
        <v>240</v>
      </c>
      <c r="C12" s="178">
        <f>IF(C10=0.5,1,C10^2/(2*C10-1))</f>
        <v>1</v>
      </c>
      <c r="D12" s="86"/>
      <c r="J12" s="227">
        <f t="shared" si="0"/>
        <v>0.75</v>
      </c>
      <c r="K12" s="228">
        <f t="shared" si="1"/>
        <v>6250</v>
      </c>
      <c r="L12" s="229">
        <f t="shared" si="2"/>
        <v>39062500</v>
      </c>
    </row>
    <row r="13" spans="1:12">
      <c r="B13" s="5" t="s">
        <v>246</v>
      </c>
      <c r="C13" s="198">
        <f>(C4-C5)/20</f>
        <v>750</v>
      </c>
      <c r="J13" s="227">
        <f t="shared" si="0"/>
        <v>0.7</v>
      </c>
      <c r="K13" s="228">
        <f t="shared" si="1"/>
        <v>5500</v>
      </c>
      <c r="L13" s="229">
        <f t="shared" si="2"/>
        <v>30250000</v>
      </c>
    </row>
    <row r="14" spans="1:12">
      <c r="B14" s="5" t="s">
        <v>254</v>
      </c>
      <c r="C14" s="199">
        <f>+G4</f>
        <v>0.87000000000000011</v>
      </c>
      <c r="J14" s="227">
        <f t="shared" si="0"/>
        <v>0.65</v>
      </c>
      <c r="K14" s="228">
        <f t="shared" si="1"/>
        <v>4750</v>
      </c>
      <c r="L14" s="229">
        <f t="shared" si="2"/>
        <v>22562500</v>
      </c>
    </row>
    <row r="15" spans="1:12">
      <c r="B15" s="5"/>
      <c r="J15" s="227">
        <f t="shared" si="0"/>
        <v>0.6</v>
      </c>
      <c r="K15" s="228">
        <f t="shared" si="1"/>
        <v>4000</v>
      </c>
      <c r="L15" s="229">
        <f t="shared" si="2"/>
        <v>16000000</v>
      </c>
    </row>
    <row r="16" spans="1:12">
      <c r="B16" s="5" t="s">
        <v>257</v>
      </c>
      <c r="C16" s="234">
        <f>IF($C$10=0.5,(C7-$C$5)/($C$4-$C$5),$C$12*(1-$C$11^(-2*(C7-$C$5)/($C$4-C5))))</f>
        <v>0.9</v>
      </c>
      <c r="J16" s="227">
        <f t="shared" si="0"/>
        <v>0.55000000000000004</v>
      </c>
      <c r="K16" s="228">
        <f t="shared" si="1"/>
        <v>3250</v>
      </c>
      <c r="L16" s="229">
        <f t="shared" si="2"/>
        <v>10562500</v>
      </c>
    </row>
    <row r="17" spans="1:14" hidden="1">
      <c r="B17" s="5" t="s">
        <v>99</v>
      </c>
      <c r="C17" s="213">
        <f>IF(C10=0.5,(C16*(C4-C5)+C5),C5-($C$4-$C$5)*LN(1-C14/C12)/(2*LN(C11)))</f>
        <v>8500</v>
      </c>
      <c r="J17" s="227">
        <f t="shared" si="0"/>
        <v>0.5</v>
      </c>
      <c r="K17" s="228">
        <f t="shared" si="1"/>
        <v>2500</v>
      </c>
      <c r="L17" s="229">
        <f t="shared" si="2"/>
        <v>6250000</v>
      </c>
    </row>
    <row r="18" spans="1:14">
      <c r="J18" s="227">
        <f t="shared" si="0"/>
        <v>0.45</v>
      </c>
      <c r="K18" s="228">
        <f t="shared" si="1"/>
        <v>1750</v>
      </c>
      <c r="L18" s="229">
        <f t="shared" si="2"/>
        <v>3062500</v>
      </c>
    </row>
    <row r="19" spans="1:14">
      <c r="B19" s="216" t="s">
        <v>89</v>
      </c>
      <c r="C19" s="217" t="s">
        <v>90</v>
      </c>
      <c r="D19" s="78"/>
      <c r="E19" s="78"/>
      <c r="F19" s="78"/>
      <c r="G19" s="78"/>
      <c r="H19" s="218" t="s">
        <v>57</v>
      </c>
      <c r="J19" s="227">
        <f t="shared" si="0"/>
        <v>0.4</v>
      </c>
      <c r="K19" s="228">
        <f t="shared" si="1"/>
        <v>1000</v>
      </c>
      <c r="L19" s="229">
        <f t="shared" si="2"/>
        <v>1000000</v>
      </c>
    </row>
    <row r="20" spans="1:14">
      <c r="B20" s="177" t="s">
        <v>281</v>
      </c>
      <c r="C20" s="43" t="s">
        <v>282</v>
      </c>
      <c r="H20" s="81">
        <v>900000</v>
      </c>
      <c r="J20" s="227">
        <f t="shared" si="0"/>
        <v>0.35</v>
      </c>
      <c r="K20" s="228">
        <f t="shared" si="1"/>
        <v>250</v>
      </c>
      <c r="L20" s="229">
        <f t="shared" si="2"/>
        <v>62500</v>
      </c>
    </row>
    <row r="21" spans="1:14">
      <c r="B21" s="177" t="s">
        <v>267</v>
      </c>
      <c r="C21" s="219" t="s">
        <v>283</v>
      </c>
      <c r="H21" s="81">
        <v>9.9999999999999978E-2</v>
      </c>
      <c r="J21" s="227">
        <f t="shared" si="0"/>
        <v>0.3</v>
      </c>
      <c r="K21" s="228">
        <f t="shared" si="1"/>
        <v>-500</v>
      </c>
      <c r="L21" s="229">
        <f t="shared" si="2"/>
        <v>250000</v>
      </c>
    </row>
    <row r="22" spans="1:14">
      <c r="B22" s="177" t="s">
        <v>268</v>
      </c>
      <c r="C22" s="43" t="s">
        <v>284</v>
      </c>
      <c r="H22" s="81">
        <v>-50000</v>
      </c>
      <c r="J22" s="227">
        <f t="shared" si="0"/>
        <v>0.25</v>
      </c>
      <c r="K22" s="228">
        <f t="shared" si="1"/>
        <v>-1250</v>
      </c>
      <c r="L22" s="229">
        <f t="shared" si="2"/>
        <v>1562500</v>
      </c>
    </row>
    <row r="23" spans="1:14" ht="30" customHeight="1">
      <c r="B23" s="177" t="s">
        <v>110</v>
      </c>
      <c r="C23" s="220" t="s">
        <v>285</v>
      </c>
      <c r="H23" s="81">
        <v>850000</v>
      </c>
      <c r="J23" s="227">
        <f t="shared" si="0"/>
        <v>0.2</v>
      </c>
      <c r="K23" s="228">
        <f t="shared" si="1"/>
        <v>-2000</v>
      </c>
      <c r="L23" s="229">
        <f t="shared" si="2"/>
        <v>4000000</v>
      </c>
    </row>
    <row r="24" spans="1:14">
      <c r="B24" s="177" t="s">
        <v>286</v>
      </c>
      <c r="C24" s="43" t="s">
        <v>287</v>
      </c>
      <c r="H24" s="81">
        <v>1.4999999999999998</v>
      </c>
      <c r="J24" s="227">
        <f t="shared" si="0"/>
        <v>0.15</v>
      </c>
      <c r="K24" s="228">
        <f t="shared" si="1"/>
        <v>-2750</v>
      </c>
      <c r="L24" s="229">
        <f t="shared" si="2"/>
        <v>7562500</v>
      </c>
    </row>
    <row r="25" spans="1:14">
      <c r="B25" s="177" t="s">
        <v>288</v>
      </c>
      <c r="C25" s="43" t="s">
        <v>289</v>
      </c>
      <c r="H25" s="69">
        <v>1.8000000000000003</v>
      </c>
      <c r="J25" s="227">
        <f t="shared" si="0"/>
        <v>0.1</v>
      </c>
      <c r="K25" s="228">
        <f t="shared" si="1"/>
        <v>-3500</v>
      </c>
      <c r="L25" s="229">
        <f t="shared" si="2"/>
        <v>12250000</v>
      </c>
    </row>
    <row r="26" spans="1:14" s="8" customFormat="1">
      <c r="A26"/>
      <c r="B26" s="177" t="s">
        <v>278</v>
      </c>
      <c r="C26" s="43" t="s">
        <v>261</v>
      </c>
      <c r="F26" s="73"/>
      <c r="H26" s="81">
        <v>75000</v>
      </c>
      <c r="J26" s="227">
        <f t="shared" si="0"/>
        <v>0.05</v>
      </c>
      <c r="K26" s="228">
        <f t="shared" si="1"/>
        <v>-4250</v>
      </c>
      <c r="L26" s="229">
        <f t="shared" si="2"/>
        <v>18062500</v>
      </c>
    </row>
    <row r="27" spans="1:14" s="8" customFormat="1">
      <c r="A27"/>
      <c r="B27" s="177" t="s">
        <v>259</v>
      </c>
      <c r="C27" s="43" t="s">
        <v>263</v>
      </c>
      <c r="E27" s="73"/>
      <c r="F27" s="73"/>
      <c r="H27" s="81">
        <v>0.56350412347206935</v>
      </c>
      <c r="I27" s="73"/>
      <c r="J27" s="227">
        <f t="shared" si="0"/>
        <v>0</v>
      </c>
      <c r="K27" s="228">
        <f t="shared" si="1"/>
        <v>-5000</v>
      </c>
      <c r="L27" s="229">
        <f t="shared" si="2"/>
        <v>25000000</v>
      </c>
      <c r="M27" s="73"/>
      <c r="N27" s="73"/>
    </row>
    <row r="28" spans="1:14" s="8" customFormat="1">
      <c r="A28"/>
      <c r="B28" s="177" t="s">
        <v>260</v>
      </c>
      <c r="C28" s="43" t="s">
        <v>290</v>
      </c>
      <c r="E28" s="73"/>
      <c r="F28" s="73"/>
      <c r="H28" s="81">
        <v>0.93250443564075913</v>
      </c>
      <c r="I28" s="73"/>
      <c r="J28" s="80"/>
      <c r="K28" s="74"/>
      <c r="L28" s="230"/>
      <c r="M28" s="73"/>
      <c r="N28" s="73"/>
    </row>
    <row r="29" spans="1:14">
      <c r="B29" s="221" t="s">
        <v>262</v>
      </c>
      <c r="C29" s="222" t="s">
        <v>291</v>
      </c>
      <c r="D29" s="84"/>
      <c r="E29" s="223"/>
      <c r="F29" s="223"/>
      <c r="G29" s="84"/>
      <c r="H29" s="85">
        <v>194582.32</v>
      </c>
      <c r="I29" s="203"/>
      <c r="J29" s="231" cm="1">
        <f t="array" ref="J29:L29">LINEST(J7:J27,K7:L27)</f>
        <v>1.6584370925664408E-24</v>
      </c>
      <c r="K29" s="232">
        <v>6.6666666666666683E-5</v>
      </c>
      <c r="L29" s="233">
        <v>0.3333333333333332</v>
      </c>
    </row>
    <row r="30" spans="1:14">
      <c r="B30" s="215"/>
      <c r="C30" s="43"/>
      <c r="E30" s="203"/>
      <c r="F30" s="203"/>
      <c r="G30" s="203"/>
      <c r="H30" s="204"/>
      <c r="I30" s="203"/>
      <c r="L30" s="73"/>
    </row>
    <row r="31" spans="1:14">
      <c r="B31" s="215"/>
      <c r="C31" s="43"/>
      <c r="E31" s="203"/>
      <c r="F31" s="203"/>
      <c r="G31" s="203"/>
      <c r="H31" s="204"/>
      <c r="I31" s="203"/>
    </row>
    <row r="32" spans="1:14" ht="30">
      <c r="B32" s="215"/>
      <c r="C32" s="43"/>
      <c r="E32" s="203"/>
      <c r="F32" s="203"/>
      <c r="G32" s="203"/>
      <c r="H32" s="204" t="s">
        <v>241</v>
      </c>
      <c r="I32" s="203"/>
      <c r="J32" s="203"/>
      <c r="K32" s="203"/>
      <c r="L32" s="203"/>
    </row>
    <row r="33" spans="1:14">
      <c r="C33" s="56">
        <f>+C17</f>
        <v>8500</v>
      </c>
      <c r="D33" s="200">
        <v>0.1</v>
      </c>
      <c r="E33" s="200">
        <v>0.2</v>
      </c>
      <c r="F33" s="200">
        <v>0.3</v>
      </c>
      <c r="G33" s="200">
        <v>0.4</v>
      </c>
      <c r="H33" s="200">
        <v>0.5</v>
      </c>
      <c r="I33" s="200">
        <v>0.6</v>
      </c>
      <c r="J33" s="200">
        <v>0.7</v>
      </c>
      <c r="K33" s="200">
        <v>0.8</v>
      </c>
      <c r="L33" s="200">
        <v>0.9</v>
      </c>
    </row>
    <row r="34" spans="1:14" s="8" customFormat="1">
      <c r="A34"/>
      <c r="B34" s="178" t="s">
        <v>102</v>
      </c>
      <c r="C34" s="201">
        <v>0</v>
      </c>
      <c r="D34" s="1">
        <f t="dataTable" ref="D34:L40" dt2D="1" dtr="1" r1="C10" r2="C5"/>
        <v>8765.0808039006806</v>
      </c>
      <c r="E34" s="1">
        <v>8652.8912010630702</v>
      </c>
      <c r="F34" s="1">
        <v>8519.2285585497157</v>
      </c>
      <c r="G34" s="1">
        <v>8344.0723923702863</v>
      </c>
      <c r="H34" s="1">
        <v>9000</v>
      </c>
      <c r="I34" s="1">
        <v>7741.1740588138255</v>
      </c>
      <c r="J34" s="1">
        <v>7187.3342302134679</v>
      </c>
      <c r="K34" s="1">
        <v>6302.4965811779257</v>
      </c>
      <c r="L34" s="1">
        <v>4877.7646852790176</v>
      </c>
      <c r="N34" s="73"/>
    </row>
    <row r="35" spans="1:14">
      <c r="B35" s="178" t="s">
        <v>103</v>
      </c>
      <c r="C35" s="201">
        <v>-1000</v>
      </c>
      <c r="D35" s="1">
        <v>8743.8581359720301</v>
      </c>
      <c r="E35" s="1">
        <v>8627.2294147330576</v>
      </c>
      <c r="F35" s="1">
        <v>8493.6303081896822</v>
      </c>
      <c r="G35" s="1">
        <v>8325.1567684447364</v>
      </c>
      <c r="H35" s="1">
        <v>8900</v>
      </c>
      <c r="I35" s="1">
        <v>7777.6396591066678</v>
      </c>
      <c r="J35" s="1">
        <v>7293.4702800726645</v>
      </c>
      <c r="K35" s="1">
        <v>6518.9565989568346</v>
      </c>
      <c r="L35" s="1">
        <v>5203.0970547710385</v>
      </c>
    </row>
    <row r="36" spans="1:14" ht="33" customHeight="1">
      <c r="B36" s="178" t="s">
        <v>104</v>
      </c>
      <c r="C36" s="201">
        <v>-2000</v>
      </c>
      <c r="D36" s="1">
        <v>8724.1798848986491</v>
      </c>
      <c r="E36" s="1">
        <v>8605.9216136463674</v>
      </c>
      <c r="F36" s="1">
        <v>8476.1797339053082</v>
      </c>
      <c r="G36" s="1">
        <v>8319.0351201469039</v>
      </c>
      <c r="H36" s="1">
        <v>8800</v>
      </c>
      <c r="I36" s="1">
        <v>7837.3763797278625</v>
      </c>
      <c r="J36" s="1">
        <v>7428.5774744771552</v>
      </c>
      <c r="K36" s="1">
        <v>6777.9536554133265</v>
      </c>
      <c r="L36" s="1">
        <v>5621.2438621436713</v>
      </c>
      <c r="N36"/>
    </row>
    <row r="37" spans="1:14">
      <c r="B37" s="178" t="s">
        <v>105</v>
      </c>
      <c r="C37" s="201">
        <v>-5000</v>
      </c>
      <c r="D37" s="1">
        <v>8685.4071595593869</v>
      </c>
      <c r="E37" s="1">
        <v>8585.1306531003029</v>
      </c>
      <c r="F37" s="1">
        <v>8490.6815179678324</v>
      </c>
      <c r="G37" s="1">
        <v>8390.2639221307381</v>
      </c>
      <c r="H37" s="1">
        <v>8500</v>
      </c>
      <c r="I37" s="1">
        <v>8133.0229494682426</v>
      </c>
      <c r="J37" s="1">
        <v>7942.9938983194297</v>
      </c>
      <c r="K37" s="1">
        <v>7656.2814001508123</v>
      </c>
      <c r="L37" s="1">
        <v>7116.3624384700761</v>
      </c>
      <c r="N37"/>
    </row>
    <row r="38" spans="1:14">
      <c r="B38" s="178" t="s">
        <v>107</v>
      </c>
      <c r="C38" s="201">
        <v>-6000</v>
      </c>
      <c r="D38" s="1">
        <v>8686.2387028131179</v>
      </c>
      <c r="E38" s="1">
        <v>8601.138873260963</v>
      </c>
      <c r="F38" s="1">
        <v>8525.5032486664113</v>
      </c>
      <c r="G38" s="1">
        <v>8448.6938422451967</v>
      </c>
      <c r="H38" s="1">
        <v>8400</v>
      </c>
      <c r="I38" s="1">
        <v>8263.45281690101</v>
      </c>
      <c r="J38" s="1">
        <v>8133.3883820085284</v>
      </c>
      <c r="K38" s="1">
        <v>7942.8182774559191</v>
      </c>
      <c r="L38" s="1">
        <v>7588.3259198842861</v>
      </c>
      <c r="N38"/>
    </row>
    <row r="39" spans="1:14">
      <c r="B39" s="178" t="s">
        <v>108</v>
      </c>
      <c r="C39" s="201">
        <v>-7000</v>
      </c>
      <c r="D39" s="1">
        <v>8700.3929944385436</v>
      </c>
      <c r="E39" s="1">
        <v>8634.9433010406683</v>
      </c>
      <c r="F39" s="1">
        <v>8580.2169452169928</v>
      </c>
      <c r="G39" s="1">
        <v>8527.1751058840946</v>
      </c>
      <c r="H39" s="1">
        <v>8300</v>
      </c>
      <c r="I39" s="1">
        <v>8406.7426186967077</v>
      </c>
      <c r="J39" s="1">
        <v>8326.5240046258132</v>
      </c>
      <c r="K39" s="1">
        <v>8212.923413129678</v>
      </c>
      <c r="L39" s="1">
        <v>8007.3251466913862</v>
      </c>
      <c r="N39"/>
    </row>
    <row r="40" spans="1:14">
      <c r="B40" s="178" t="s">
        <v>109</v>
      </c>
      <c r="C40" s="201">
        <v>-8000</v>
      </c>
      <c r="D40" s="1">
        <v>8734.7497040230774</v>
      </c>
      <c r="E40" s="1">
        <v>8692.0378971755126</v>
      </c>
      <c r="F40" s="1">
        <v>8658.517967063548</v>
      </c>
      <c r="G40" s="1">
        <v>8627.5253516835292</v>
      </c>
      <c r="H40" s="1">
        <v>8200</v>
      </c>
      <c r="I40" s="1">
        <v>8561.2630671655461</v>
      </c>
      <c r="J40" s="1">
        <v>8519.464383475246</v>
      </c>
      <c r="K40" s="1">
        <v>8462.4825309966582</v>
      </c>
      <c r="L40" s="1">
        <v>8363.4451165194787</v>
      </c>
      <c r="N40"/>
    </row>
    <row r="41" spans="1:14">
      <c r="D41"/>
      <c r="E41"/>
      <c r="F41"/>
      <c r="G41"/>
      <c r="H41"/>
      <c r="I41"/>
      <c r="J41"/>
      <c r="K41"/>
      <c r="L41"/>
      <c r="M41"/>
      <c r="N41"/>
    </row>
    <row r="42" spans="1:14">
      <c r="D42"/>
      <c r="E42"/>
      <c r="F42"/>
      <c r="G42"/>
      <c r="H42"/>
      <c r="I42"/>
      <c r="J42"/>
      <c r="K42"/>
      <c r="L42"/>
      <c r="M42"/>
      <c r="N42"/>
    </row>
    <row r="43" spans="1:14">
      <c r="D43"/>
      <c r="E43"/>
      <c r="F43"/>
      <c r="G43"/>
      <c r="H43"/>
      <c r="I43"/>
      <c r="J43"/>
      <c r="K43"/>
      <c r="L43"/>
      <c r="M43"/>
      <c r="N43"/>
    </row>
    <row r="44" spans="1:14">
      <c r="D44"/>
      <c r="E44"/>
      <c r="F44"/>
      <c r="G44"/>
      <c r="H44"/>
      <c r="I44"/>
      <c r="J44"/>
      <c r="K44"/>
      <c r="L44"/>
      <c r="M44"/>
      <c r="N44"/>
    </row>
    <row r="45" spans="1:14">
      <c r="D45"/>
      <c r="E45"/>
      <c r="F45"/>
      <c r="G45"/>
      <c r="H45"/>
      <c r="I45"/>
      <c r="J45"/>
      <c r="K45"/>
      <c r="L45"/>
      <c r="M45"/>
      <c r="N45"/>
    </row>
    <row r="46" spans="1:14">
      <c r="D46"/>
      <c r="E46"/>
      <c r="F46"/>
      <c r="G46"/>
      <c r="H46"/>
      <c r="I46"/>
      <c r="J46"/>
      <c r="K46"/>
      <c r="L46"/>
      <c r="M46"/>
      <c r="N46"/>
    </row>
    <row r="47" spans="1:14">
      <c r="D47"/>
      <c r="E47"/>
      <c r="F47"/>
      <c r="G47"/>
      <c r="H47"/>
      <c r="I47"/>
      <c r="J47"/>
      <c r="K47"/>
      <c r="L47"/>
      <c r="M47"/>
      <c r="N47"/>
    </row>
    <row r="48" spans="1:14">
      <c r="D48"/>
      <c r="E48"/>
      <c r="F48"/>
      <c r="G48"/>
      <c r="H48"/>
      <c r="I48"/>
      <c r="J48"/>
      <c r="K48"/>
      <c r="L48"/>
      <c r="M48"/>
    </row>
    <row r="49" spans="4:13">
      <c r="D49"/>
      <c r="E49"/>
      <c r="F49"/>
      <c r="G49"/>
      <c r="H49"/>
      <c r="I49"/>
      <c r="J49"/>
      <c r="K49"/>
      <c r="L49"/>
      <c r="M49"/>
    </row>
    <row r="50" spans="4:13">
      <c r="D50"/>
      <c r="E50"/>
      <c r="F50"/>
      <c r="G50"/>
      <c r="H50"/>
      <c r="I50"/>
      <c r="J50"/>
      <c r="K50"/>
      <c r="L50"/>
      <c r="M50"/>
    </row>
    <row r="51" spans="4:13">
      <c r="D51"/>
      <c r="E51"/>
      <c r="F51"/>
      <c r="G51"/>
      <c r="H51"/>
      <c r="I51"/>
      <c r="J51"/>
      <c r="K51"/>
      <c r="L51"/>
      <c r="M51"/>
    </row>
    <row r="52" spans="4:13">
      <c r="D52"/>
      <c r="E52"/>
      <c r="F52"/>
      <c r="G52"/>
      <c r="H52"/>
      <c r="I52"/>
      <c r="J52"/>
      <c r="K52"/>
      <c r="L52"/>
      <c r="M52"/>
    </row>
    <row r="53" spans="4:13">
      <c r="D53"/>
      <c r="E53"/>
      <c r="F53"/>
      <c r="G53"/>
      <c r="H53"/>
      <c r="I53"/>
      <c r="J53"/>
      <c r="K53"/>
      <c r="L53"/>
      <c r="M53"/>
    </row>
    <row r="54" spans="4:13">
      <c r="D54"/>
      <c r="E54"/>
      <c r="F54"/>
      <c r="G54"/>
      <c r="H54"/>
      <c r="I54"/>
      <c r="J54"/>
      <c r="K54"/>
      <c r="L54"/>
      <c r="M54"/>
    </row>
    <row r="55" spans="4:13">
      <c r="D55"/>
      <c r="E55"/>
      <c r="F55"/>
      <c r="G55"/>
      <c r="H55"/>
      <c r="I55"/>
      <c r="J55"/>
      <c r="K55"/>
      <c r="L55"/>
      <c r="M55"/>
    </row>
    <row r="56" spans="4:13">
      <c r="D56"/>
      <c r="E56"/>
      <c r="F56"/>
      <c r="G56"/>
      <c r="H56"/>
      <c r="I56"/>
      <c r="J56"/>
      <c r="K56"/>
      <c r="L56"/>
      <c r="M56"/>
    </row>
    <row r="57" spans="4:13">
      <c r="D57"/>
      <c r="E57"/>
      <c r="F57"/>
      <c r="G57"/>
      <c r="H57"/>
      <c r="I57"/>
      <c r="J57"/>
      <c r="K57"/>
      <c r="L57"/>
      <c r="M57"/>
    </row>
    <row r="58" spans="4:13">
      <c r="D58"/>
      <c r="E58"/>
      <c r="F58"/>
      <c r="G58"/>
      <c r="H58"/>
      <c r="I58"/>
      <c r="J58"/>
      <c r="K58"/>
      <c r="L58"/>
      <c r="M58"/>
    </row>
    <row r="59" spans="4:13">
      <c r="D59"/>
      <c r="E59"/>
      <c r="F59"/>
      <c r="G59"/>
      <c r="H59"/>
      <c r="I59"/>
      <c r="J59"/>
      <c r="K59"/>
      <c r="L59"/>
      <c r="M59"/>
    </row>
    <row r="60" spans="4:13">
      <c r="D60"/>
      <c r="E60"/>
      <c r="F60"/>
      <c r="G60"/>
      <c r="H60"/>
      <c r="I60"/>
      <c r="J60"/>
      <c r="K60"/>
      <c r="L60"/>
      <c r="M60"/>
    </row>
    <row r="61" spans="4:13">
      <c r="D61"/>
      <c r="E61"/>
      <c r="F61"/>
      <c r="G61"/>
      <c r="H61"/>
      <c r="I61"/>
      <c r="J61"/>
      <c r="K61"/>
      <c r="L61"/>
      <c r="M61"/>
    </row>
    <row r="62" spans="4:13">
      <c r="D62"/>
      <c r="E62"/>
      <c r="F62"/>
      <c r="G62"/>
      <c r="H62"/>
      <c r="I62"/>
      <c r="J62"/>
      <c r="K62"/>
      <c r="L62"/>
      <c r="M62"/>
    </row>
    <row r="63" spans="4:13">
      <c r="D63"/>
      <c r="E63"/>
      <c r="F63"/>
      <c r="G63"/>
      <c r="H63"/>
      <c r="I63"/>
      <c r="J63"/>
      <c r="K63"/>
      <c r="L63"/>
      <c r="M63"/>
    </row>
    <row r="64" spans="4:13">
      <c r="D64"/>
      <c r="E64"/>
      <c r="F64"/>
      <c r="G64"/>
      <c r="H64"/>
      <c r="I64"/>
      <c r="J64"/>
      <c r="K64"/>
      <c r="L64"/>
      <c r="M64"/>
    </row>
    <row r="65" spans="4:13">
      <c r="D65"/>
      <c r="E65"/>
      <c r="F65"/>
      <c r="G65"/>
      <c r="H65"/>
      <c r="I65"/>
      <c r="J65"/>
      <c r="K65"/>
      <c r="L65"/>
      <c r="M65"/>
    </row>
    <row r="66" spans="4:13">
      <c r="D66"/>
      <c r="E66"/>
      <c r="F66"/>
      <c r="G66"/>
      <c r="H66"/>
      <c r="I66"/>
      <c r="J66"/>
      <c r="K66"/>
      <c r="L66"/>
      <c r="M66"/>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67C8E-B54F-483D-BBC5-BED061E4D729}">
  <sheetPr codeName="Sheet19"/>
  <dimension ref="A1:GV1007"/>
  <sheetViews>
    <sheetView showGridLines="0" zoomScale="145" zoomScaleNormal="145" workbookViewId="0">
      <selection activeCell="E74" sqref="E74"/>
    </sheetView>
  </sheetViews>
  <sheetFormatPr defaultRowHeight="15" outlineLevelRow="1"/>
  <cols>
    <col min="1" max="1" width="3.28515625" customWidth="1"/>
    <col min="2" max="2" width="31" customWidth="1"/>
    <col min="3" max="3" width="13.42578125" customWidth="1"/>
    <col min="4" max="6" width="12.7109375" style="73" customWidth="1"/>
    <col min="7" max="7" width="12.85546875" style="73" customWidth="1"/>
    <col min="8" max="8" width="15.28515625" style="73" customWidth="1"/>
    <col min="9" max="9" width="2.7109375" style="73" customWidth="1"/>
    <col min="10" max="10" width="9.28515625" style="73" bestFit="1" customWidth="1"/>
    <col min="11" max="11" width="2.42578125" style="73" customWidth="1"/>
    <col min="12" max="12" width="14.42578125" style="74" bestFit="1" customWidth="1"/>
    <col min="13" max="13" width="2.28515625" style="74" customWidth="1"/>
    <col min="14" max="14" width="3.7109375" style="74" customWidth="1"/>
    <col min="15" max="16" width="14.42578125" bestFit="1" customWidth="1"/>
    <col min="17" max="17" width="2.28515625" customWidth="1"/>
    <col min="18" max="18" width="14.42578125" bestFit="1" customWidth="1"/>
    <col min="19" max="19" width="2.5703125" customWidth="1"/>
  </cols>
  <sheetData>
    <row r="1" spans="1:14" ht="23.25">
      <c r="A1" s="46" t="s">
        <v>132</v>
      </c>
    </row>
    <row r="2" spans="1:14" s="73" customFormat="1" ht="16.5" customHeight="1">
      <c r="A2" t="s">
        <v>95</v>
      </c>
      <c r="B2"/>
      <c r="C2"/>
      <c r="L2" s="74"/>
      <c r="M2" s="74"/>
      <c r="N2" s="74"/>
    </row>
    <row r="3" spans="1:14" s="73" customFormat="1" ht="16.5" customHeight="1">
      <c r="A3"/>
      <c r="B3"/>
      <c r="C3"/>
      <c r="L3" s="74"/>
      <c r="M3" s="74"/>
      <c r="N3" s="74"/>
    </row>
    <row r="4" spans="1:14" s="73" customFormat="1" ht="16.5" customHeight="1">
      <c r="A4" s="95" t="s">
        <v>133</v>
      </c>
      <c r="B4"/>
      <c r="C4"/>
      <c r="L4" s="74"/>
      <c r="M4" s="74"/>
      <c r="N4" s="74"/>
    </row>
    <row r="5" spans="1:14" s="73" customFormat="1" outlineLevel="1">
      <c r="A5"/>
      <c r="B5"/>
      <c r="C5" s="7" t="s">
        <v>57</v>
      </c>
      <c r="D5" s="7" t="s">
        <v>58</v>
      </c>
      <c r="E5" s="91" t="s">
        <v>12</v>
      </c>
      <c r="L5" s="74"/>
      <c r="M5" s="74"/>
      <c r="N5" s="74"/>
    </row>
    <row r="6" spans="1:14" s="73" customFormat="1" outlineLevel="1">
      <c r="A6"/>
      <c r="B6" t="s">
        <v>88</v>
      </c>
      <c r="C6" s="50">
        <v>1000000</v>
      </c>
      <c r="D6" s="49">
        <v>0.9</v>
      </c>
      <c r="E6" s="91">
        <f>+D6*C6</f>
        <v>900000</v>
      </c>
      <c r="L6" s="74"/>
      <c r="M6" s="74"/>
      <c r="N6" s="74"/>
    </row>
    <row r="7" spans="1:14" s="73" customFormat="1" outlineLevel="1">
      <c r="A7"/>
      <c r="B7" t="s">
        <v>100</v>
      </c>
      <c r="C7" s="50">
        <v>-500000</v>
      </c>
      <c r="D7" s="49">
        <f>1-D6</f>
        <v>9.9999999999999978E-2</v>
      </c>
      <c r="E7" s="91">
        <f>+D7*C7</f>
        <v>-49999.999999999985</v>
      </c>
      <c r="L7" s="74"/>
      <c r="M7" s="74"/>
      <c r="N7" s="74"/>
    </row>
    <row r="8" spans="1:14" s="73" customFormat="1" outlineLevel="1">
      <c r="A8"/>
      <c r="B8"/>
      <c r="C8"/>
      <c r="D8" s="75"/>
      <c r="L8" s="74"/>
      <c r="M8" s="74"/>
      <c r="N8" s="74"/>
    </row>
    <row r="9" spans="1:14" s="73" customFormat="1" outlineLevel="1">
      <c r="A9"/>
      <c r="B9" t="s">
        <v>33</v>
      </c>
      <c r="C9" s="51">
        <f>SUMPRODUCT(C6:C7,D6:D7)</f>
        <v>850000</v>
      </c>
      <c r="D9" s="75"/>
      <c r="L9" s="74"/>
      <c r="M9" s="74"/>
      <c r="N9" s="74"/>
    </row>
    <row r="10" spans="1:14" s="73" customFormat="1" outlineLevel="1">
      <c r="A10"/>
      <c r="B10"/>
      <c r="C10"/>
      <c r="D10" s="75"/>
      <c r="L10" s="74"/>
      <c r="M10" s="74"/>
      <c r="N10" s="74"/>
    </row>
    <row r="11" spans="1:14" s="73" customFormat="1" ht="12.75" customHeight="1" outlineLevel="1">
      <c r="A11"/>
      <c r="B11" t="s">
        <v>128</v>
      </c>
      <c r="C11" s="59">
        <v>0.27</v>
      </c>
      <c r="D11" s="75"/>
      <c r="L11" s="74"/>
      <c r="M11" s="74"/>
      <c r="N11" s="74"/>
    </row>
    <row r="12" spans="1:14" s="73" customFormat="1" outlineLevel="1">
      <c r="A12"/>
      <c r="B12"/>
      <c r="C12"/>
      <c r="D12" s="75"/>
      <c r="L12" s="74"/>
      <c r="M12" s="74"/>
      <c r="N12" s="74"/>
    </row>
    <row r="13" spans="1:14" s="73" customFormat="1" outlineLevel="1">
      <c r="A13"/>
      <c r="B13" t="s">
        <v>99</v>
      </c>
      <c r="C13" s="51">
        <f>+C9/(1+C11)</f>
        <v>669291.33858267718</v>
      </c>
      <c r="D13" s="75"/>
      <c r="L13" s="74"/>
      <c r="M13" s="74"/>
      <c r="N13" s="74"/>
    </row>
    <row r="14" spans="1:14" outlineLevel="1">
      <c r="D14"/>
      <c r="E14"/>
      <c r="F14"/>
      <c r="G14"/>
      <c r="H14"/>
      <c r="I14"/>
      <c r="J14"/>
      <c r="K14"/>
      <c r="L14"/>
      <c r="M14"/>
      <c r="N14"/>
    </row>
    <row r="15" spans="1:14" outlineLevel="1">
      <c r="B15" s="76" t="s">
        <v>89</v>
      </c>
      <c r="C15" s="77" t="s">
        <v>90</v>
      </c>
      <c r="D15" s="78"/>
      <c r="E15" s="78"/>
      <c r="F15" s="79"/>
      <c r="G15"/>
      <c r="H15"/>
      <c r="I15"/>
      <c r="J15"/>
      <c r="K15"/>
      <c r="L15"/>
      <c r="M15"/>
      <c r="N15"/>
    </row>
    <row r="16" spans="1:14" outlineLevel="1">
      <c r="B16" s="80" t="s">
        <v>136</v>
      </c>
      <c r="C16" s="74" t="s">
        <v>137</v>
      </c>
      <c r="F16" s="81"/>
      <c r="G16"/>
      <c r="H16"/>
      <c r="I16"/>
      <c r="J16"/>
      <c r="K16"/>
      <c r="L16"/>
      <c r="M16"/>
      <c r="N16"/>
    </row>
    <row r="17" spans="1:14" outlineLevel="1">
      <c r="B17" s="80" t="s">
        <v>92</v>
      </c>
      <c r="C17" s="96" t="s">
        <v>135</v>
      </c>
      <c r="F17" s="81"/>
      <c r="G17"/>
      <c r="H17"/>
      <c r="I17"/>
      <c r="J17"/>
      <c r="K17"/>
      <c r="L17"/>
      <c r="M17"/>
      <c r="N17"/>
    </row>
    <row r="18" spans="1:14" outlineLevel="1">
      <c r="B18" s="80"/>
      <c r="C18" s="74"/>
      <c r="F18" s="81"/>
      <c r="G18"/>
      <c r="H18"/>
      <c r="I18"/>
      <c r="J18"/>
      <c r="K18"/>
      <c r="L18"/>
      <c r="M18"/>
      <c r="N18"/>
    </row>
    <row r="19" spans="1:14" outlineLevel="1">
      <c r="B19" s="80"/>
      <c r="C19" s="74"/>
      <c r="F19" s="81"/>
      <c r="G19"/>
      <c r="H19"/>
      <c r="I19"/>
      <c r="J19"/>
      <c r="K19"/>
      <c r="L19"/>
      <c r="M19"/>
      <c r="N19"/>
    </row>
    <row r="20" spans="1:14" s="73" customFormat="1" outlineLevel="1">
      <c r="A20"/>
      <c r="B20" s="82" t="s">
        <v>93</v>
      </c>
      <c r="C20" s="74"/>
      <c r="F20" s="81"/>
      <c r="L20" s="74"/>
      <c r="M20" s="74"/>
      <c r="N20" s="74"/>
    </row>
    <row r="21" spans="1:14" s="73" customFormat="1" outlineLevel="1">
      <c r="A21"/>
      <c r="B21" s="83"/>
      <c r="C21" s="84"/>
      <c r="D21" s="84"/>
      <c r="E21" s="84"/>
      <c r="F21" s="85"/>
      <c r="L21" s="74"/>
      <c r="M21" s="74"/>
      <c r="N21" s="74"/>
    </row>
    <row r="22" spans="1:14" s="73" customFormat="1" outlineLevel="1">
      <c r="A22"/>
      <c r="B22"/>
      <c r="C22"/>
      <c r="D22" s="86"/>
      <c r="L22" s="74"/>
      <c r="M22" s="74"/>
      <c r="N22" s="74"/>
    </row>
    <row r="23" spans="1:14" s="73" customFormat="1" outlineLevel="1">
      <c r="A23"/>
      <c r="B23"/>
      <c r="C23" s="3"/>
      <c r="L23" s="74"/>
      <c r="M23" s="74"/>
      <c r="N23" s="74"/>
    </row>
    <row r="24" spans="1:14" outlineLevel="1">
      <c r="C24" s="3"/>
      <c r="D24" s="376" t="s">
        <v>125</v>
      </c>
      <c r="E24" s="376"/>
      <c r="F24" s="376"/>
      <c r="G24" s="376"/>
      <c r="H24" s="376"/>
      <c r="I24" s="88" t="s">
        <v>126</v>
      </c>
      <c r="J24" s="377" t="s">
        <v>127</v>
      </c>
      <c r="K24" s="377"/>
      <c r="L24" s="377"/>
      <c r="M24" s="377"/>
      <c r="N24" s="377"/>
    </row>
    <row r="25" spans="1:14" ht="30" customHeight="1" outlineLevel="1">
      <c r="C25" s="54"/>
      <c r="D25" s="90" t="str">
        <f>"1/"&amp;1/D26</f>
        <v>1/-5</v>
      </c>
      <c r="E25" s="90" t="str">
        <f t="shared" ref="E25:H25" si="0">"1/"&amp;1/E26</f>
        <v>1/-10</v>
      </c>
      <c r="F25" s="90" t="str">
        <f t="shared" si="0"/>
        <v>1/-20</v>
      </c>
      <c r="G25" s="90" t="str">
        <f t="shared" si="0"/>
        <v>1/-40</v>
      </c>
      <c r="H25" s="90" t="str">
        <f t="shared" si="0"/>
        <v>1/-100</v>
      </c>
      <c r="I25" s="90">
        <v>0</v>
      </c>
      <c r="J25" s="90" t="str">
        <f>"1/"&amp;1/J26</f>
        <v>1/100</v>
      </c>
      <c r="K25" s="90" t="str">
        <f>"1/"&amp;1/K26</f>
        <v>1/40</v>
      </c>
      <c r="L25" s="90" t="str">
        <f>"1/"&amp;1/L26</f>
        <v>1/20</v>
      </c>
      <c r="M25" s="90" t="str">
        <f t="shared" ref="M25:N25" si="1">"1/"&amp;1/M26</f>
        <v>1/10</v>
      </c>
      <c r="N25" s="90" t="str">
        <f t="shared" si="1"/>
        <v>1/5</v>
      </c>
    </row>
    <row r="26" spans="1:14" outlineLevel="1">
      <c r="B26" s="55" t="e">
        <f>+#REF!</f>
        <v>#REF!</v>
      </c>
      <c r="C26" s="56">
        <f>+C13</f>
        <v>669291.33858267718</v>
      </c>
      <c r="D26" s="92">
        <f>-N26</f>
        <v>-0.2</v>
      </c>
      <c r="E26" s="92">
        <f>-M26</f>
        <v>-0.1</v>
      </c>
      <c r="F26" s="92">
        <f>-L26</f>
        <v>-0.05</v>
      </c>
      <c r="G26" s="92">
        <f>-K26</f>
        <v>-2.5000000000000001E-2</v>
      </c>
      <c r="H26" s="93">
        <f>-J26</f>
        <v>-0.01</v>
      </c>
      <c r="I26" s="92">
        <v>0</v>
      </c>
      <c r="J26" s="92">
        <v>0.01</v>
      </c>
      <c r="K26" s="92">
        <f>+J26*2.5</f>
        <v>2.5000000000000001E-2</v>
      </c>
      <c r="L26" s="92">
        <f>+K26*2</f>
        <v>0.05</v>
      </c>
      <c r="M26" s="92">
        <v>0.1</v>
      </c>
      <c r="N26" s="94">
        <v>0.2</v>
      </c>
    </row>
    <row r="27" spans="1:14" outlineLevel="1">
      <c r="B27" t="s">
        <v>102</v>
      </c>
      <c r="C27" s="48">
        <v>0</v>
      </c>
      <c r="D27" s="73">
        <f t="dataTable" ref="D27:N33" dt2D="1" dtr="1" r1="C11" r2="C7"/>
        <v>1125000</v>
      </c>
      <c r="E27" s="73">
        <v>1000000</v>
      </c>
      <c r="F27" s="73">
        <v>947368.42105263157</v>
      </c>
      <c r="G27" s="73">
        <v>923076.92307692312</v>
      </c>
      <c r="H27" s="73">
        <v>909090.90909090906</v>
      </c>
      <c r="I27" s="73">
        <v>900000</v>
      </c>
      <c r="J27" s="73">
        <v>891089.10891089111</v>
      </c>
      <c r="K27" s="73">
        <v>878048.78048780491</v>
      </c>
      <c r="L27" s="74">
        <v>857142.85714285716</v>
      </c>
      <c r="M27" s="74">
        <v>818181.81818181812</v>
      </c>
      <c r="N27" s="74">
        <v>750000</v>
      </c>
    </row>
    <row r="28" spans="1:14" outlineLevel="1">
      <c r="B28" t="s">
        <v>103</v>
      </c>
      <c r="C28" s="48">
        <v>-10000</v>
      </c>
      <c r="D28" s="73">
        <v>1123750</v>
      </c>
      <c r="E28" s="73">
        <v>998888.88888888888</v>
      </c>
      <c r="F28" s="73">
        <v>946315.78947368427</v>
      </c>
      <c r="G28" s="73">
        <v>922051.28205128212</v>
      </c>
      <c r="H28" s="73">
        <v>908080.80808080814</v>
      </c>
      <c r="I28" s="73">
        <v>899000</v>
      </c>
      <c r="J28" s="73">
        <v>890099.00990099006</v>
      </c>
      <c r="K28" s="73">
        <v>877073.17073170736</v>
      </c>
      <c r="L28" s="74">
        <v>856190.4761904761</v>
      </c>
      <c r="M28" s="74">
        <v>817272.72727272718</v>
      </c>
      <c r="N28" s="74">
        <v>749166.66666666674</v>
      </c>
    </row>
    <row r="29" spans="1:14" outlineLevel="1">
      <c r="B29" t="s">
        <v>104</v>
      </c>
      <c r="C29" s="48">
        <v>-100000</v>
      </c>
      <c r="D29" s="73">
        <v>1112500</v>
      </c>
      <c r="E29" s="73">
        <v>988888.88888888888</v>
      </c>
      <c r="F29" s="73">
        <v>936842.10526315798</v>
      </c>
      <c r="G29" s="73">
        <v>912820.51282051287</v>
      </c>
      <c r="H29" s="73">
        <v>898989.89898989897</v>
      </c>
      <c r="I29" s="73">
        <v>890000</v>
      </c>
      <c r="J29" s="73">
        <v>881188.11881188117</v>
      </c>
      <c r="K29" s="73">
        <v>868292.68292682932</v>
      </c>
      <c r="L29" s="74">
        <v>847619.04761904757</v>
      </c>
      <c r="M29" s="74">
        <v>809090.90909090906</v>
      </c>
      <c r="N29" s="74">
        <v>741666.66666666674</v>
      </c>
    </row>
    <row r="30" spans="1:14" outlineLevel="1">
      <c r="B30" t="s">
        <v>105</v>
      </c>
      <c r="C30" s="48">
        <v>-250000</v>
      </c>
      <c r="D30" s="73">
        <v>1093750</v>
      </c>
      <c r="E30" s="73">
        <v>972222.22222222225</v>
      </c>
      <c r="F30" s="73">
        <v>921052.63157894742</v>
      </c>
      <c r="G30" s="73">
        <v>897435.8974358975</v>
      </c>
      <c r="H30" s="73">
        <v>883838.38383838383</v>
      </c>
      <c r="I30" s="73">
        <v>875000</v>
      </c>
      <c r="J30" s="73">
        <v>866336.63366336632</v>
      </c>
      <c r="K30" s="73">
        <v>853658.53658536589</v>
      </c>
      <c r="L30" s="74">
        <v>833333.33333333326</v>
      </c>
      <c r="M30" s="74">
        <v>795454.54545454541</v>
      </c>
      <c r="N30" s="74">
        <v>729166.66666666674</v>
      </c>
    </row>
    <row r="31" spans="1:14" outlineLevel="1">
      <c r="B31" t="s">
        <v>107</v>
      </c>
      <c r="C31" s="48">
        <v>-500000</v>
      </c>
      <c r="D31" s="73">
        <v>1062500</v>
      </c>
      <c r="E31" s="73">
        <v>944444.44444444438</v>
      </c>
      <c r="F31" s="73">
        <v>894736.84210526315</v>
      </c>
      <c r="G31" s="73">
        <v>871794.87179487187</v>
      </c>
      <c r="H31" s="73">
        <v>858585.8585858586</v>
      </c>
      <c r="I31" s="73">
        <v>850000</v>
      </c>
      <c r="J31" s="73">
        <v>841584.15841584152</v>
      </c>
      <c r="K31" s="73">
        <v>829268.29268292687</v>
      </c>
      <c r="L31" s="74">
        <v>809523.80952380947</v>
      </c>
      <c r="M31" s="74">
        <v>772727.27272727271</v>
      </c>
      <c r="N31" s="74">
        <v>708333.33333333337</v>
      </c>
    </row>
    <row r="32" spans="1:14" outlineLevel="1">
      <c r="B32" t="s">
        <v>108</v>
      </c>
      <c r="C32" s="48">
        <v>-750000</v>
      </c>
      <c r="D32" s="73">
        <v>1031250</v>
      </c>
      <c r="E32" s="73">
        <v>916666.66666666663</v>
      </c>
      <c r="F32" s="73">
        <v>868421.05263157899</v>
      </c>
      <c r="G32" s="73">
        <v>846153.84615384613</v>
      </c>
      <c r="H32" s="73">
        <v>833333.33333333337</v>
      </c>
      <c r="I32" s="73">
        <v>825000</v>
      </c>
      <c r="J32" s="73">
        <v>816831.68316831684</v>
      </c>
      <c r="K32" s="73">
        <v>804878.04878048785</v>
      </c>
      <c r="L32" s="74">
        <v>785714.28571428568</v>
      </c>
      <c r="M32" s="74">
        <v>749999.99999999988</v>
      </c>
      <c r="N32" s="74">
        <v>687500</v>
      </c>
    </row>
    <row r="33" spans="1:19" s="8" customFormat="1" outlineLevel="1">
      <c r="A33"/>
      <c r="B33" t="s">
        <v>109</v>
      </c>
      <c r="C33" s="48">
        <v>-1000000</v>
      </c>
      <c r="D33" s="73">
        <v>1000000</v>
      </c>
      <c r="E33" s="73">
        <v>888888.88888888888</v>
      </c>
      <c r="F33" s="73">
        <v>842105.26315789472</v>
      </c>
      <c r="G33" s="73">
        <v>820512.8205128205</v>
      </c>
      <c r="H33" s="73">
        <v>808080.80808080814</v>
      </c>
      <c r="I33" s="73">
        <v>800000</v>
      </c>
      <c r="J33" s="73">
        <v>792079.20792079205</v>
      </c>
      <c r="K33" s="73">
        <v>780487.80487804883</v>
      </c>
      <c r="L33" s="73">
        <v>761904.76190476189</v>
      </c>
      <c r="M33" s="73">
        <v>727272.72727272718</v>
      </c>
      <c r="N33" s="73">
        <v>666666.66666666674</v>
      </c>
    </row>
    <row r="34" spans="1:19" s="8" customFormat="1" outlineLevel="1">
      <c r="A34"/>
      <c r="B34"/>
      <c r="D34" s="73"/>
      <c r="E34" s="73"/>
      <c r="F34" s="73"/>
      <c r="G34" s="73"/>
      <c r="H34" s="73"/>
      <c r="I34" s="73"/>
      <c r="J34" s="73"/>
      <c r="K34" s="73"/>
      <c r="L34" s="73"/>
      <c r="M34" s="73"/>
      <c r="N34" s="73"/>
    </row>
    <row r="35" spans="1:19" s="8" customFormat="1">
      <c r="A35"/>
      <c r="D35" s="73"/>
      <c r="E35" s="73"/>
      <c r="F35" s="73"/>
      <c r="G35" s="73"/>
      <c r="H35" s="73"/>
      <c r="I35" s="73"/>
      <c r="J35" s="73"/>
      <c r="K35" s="73"/>
      <c r="L35" s="73"/>
      <c r="M35" s="73"/>
      <c r="N35" s="73"/>
    </row>
    <row r="38" spans="1:19" s="8" customFormat="1" ht="18">
      <c r="A38" s="95" t="s">
        <v>134</v>
      </c>
      <c r="C38"/>
      <c r="D38"/>
      <c r="E38"/>
      <c r="F38"/>
      <c r="G38"/>
      <c r="H38"/>
      <c r="I38"/>
      <c r="J38"/>
      <c r="K38"/>
      <c r="L38" s="308" t="s">
        <v>141</v>
      </c>
      <c r="M38" s="309"/>
      <c r="N38" s="309"/>
      <c r="O38" s="309"/>
      <c r="P38" s="309"/>
      <c r="Q38" s="309"/>
      <c r="R38" s="309"/>
      <c r="S38" s="309"/>
    </row>
    <row r="39" spans="1:19" ht="21" customHeight="1">
      <c r="C39" s="7" t="s">
        <v>57</v>
      </c>
      <c r="D39" s="7" t="s">
        <v>58</v>
      </c>
      <c r="E39" s="91" t="s">
        <v>12</v>
      </c>
      <c r="F39" s="7" t="s">
        <v>234</v>
      </c>
      <c r="G39"/>
      <c r="H39"/>
      <c r="I39"/>
      <c r="J39"/>
      <c r="K39"/>
      <c r="M39" s="310"/>
      <c r="N39" s="310"/>
      <c r="O39" s="311"/>
      <c r="P39" s="311"/>
      <c r="Q39" s="311"/>
      <c r="R39" s="311"/>
      <c r="S39" s="311"/>
    </row>
    <row r="40" spans="1:19" s="74" customFormat="1" ht="13.5" customHeight="1">
      <c r="A40"/>
      <c r="B40" s="5" t="s">
        <v>129</v>
      </c>
      <c r="C40" s="205">
        <v>5000000</v>
      </c>
      <c r="D40" s="49">
        <v>0.2</v>
      </c>
      <c r="E40" s="91">
        <f>+D40*C40</f>
        <v>1000000</v>
      </c>
      <c r="F40" s="108">
        <f>+$E$47*(1-$E$46^(-2*(C40-$C$43)/($C$40-$C$43)))</f>
        <v>0.99999999999999978</v>
      </c>
      <c r="G40"/>
      <c r="H40"/>
      <c r="I40"/>
      <c r="J40"/>
      <c r="K40"/>
      <c r="L40" s="312"/>
      <c r="M40" s="313"/>
      <c r="N40" s="313"/>
      <c r="O40" s="314">
        <f>+D40</f>
        <v>0.2</v>
      </c>
      <c r="P40" s="313"/>
      <c r="Q40" s="313"/>
      <c r="R40" s="313"/>
      <c r="S40" s="310"/>
    </row>
    <row r="41" spans="1:19" s="74" customFormat="1" ht="15.75">
      <c r="A41"/>
      <c r="B41" s="5" t="s">
        <v>130</v>
      </c>
      <c r="C41" s="205">
        <v>3500000</v>
      </c>
      <c r="D41" s="49">
        <v>0.5</v>
      </c>
      <c r="E41" s="91">
        <f>+D41*C41</f>
        <v>1750000</v>
      </c>
      <c r="F41" s="108">
        <f>+$E$47*(1-$E$46^(-2*(C41-$C$43)/($C$40-$C$43)))</f>
        <v>0.80197880465284577</v>
      </c>
      <c r="L41" s="313"/>
      <c r="M41" s="313"/>
      <c r="N41" s="313"/>
      <c r="O41" s="315" t="str">
        <f>+B40</f>
        <v>High Revenue</v>
      </c>
      <c r="P41" s="313"/>
      <c r="Q41" s="313"/>
      <c r="R41" s="313"/>
      <c r="S41" s="310"/>
    </row>
    <row r="42" spans="1:19" s="74" customFormat="1" ht="15.75">
      <c r="A42"/>
      <c r="B42" s="5" t="s">
        <v>131</v>
      </c>
      <c r="C42" s="205">
        <v>1000000</v>
      </c>
      <c r="D42" s="49">
        <v>0.2</v>
      </c>
      <c r="E42" s="91">
        <f t="shared" ref="E42:E43" si="2">+D42*C42</f>
        <v>200000</v>
      </c>
      <c r="F42" s="108">
        <f>+$E$47*(1-$E$46^(-2*(C42-$C$43)/($C$40-$C$43)))</f>
        <v>0.35714487155845703</v>
      </c>
      <c r="L42" s="313"/>
      <c r="M42" s="313"/>
      <c r="N42" s="313"/>
      <c r="O42" s="313"/>
      <c r="P42" s="313"/>
      <c r="Q42" s="313"/>
      <c r="R42" s="316">
        <f>SUM(O43)</f>
        <v>5000000</v>
      </c>
      <c r="S42" s="310"/>
    </row>
    <row r="43" spans="1:19" s="74" customFormat="1" ht="15.75">
      <c r="A43"/>
      <c r="B43" s="203" t="s">
        <v>101</v>
      </c>
      <c r="C43" s="205">
        <v>-500000</v>
      </c>
      <c r="D43" s="49">
        <v>0.1</v>
      </c>
      <c r="E43" s="91">
        <f t="shared" si="2"/>
        <v>-50000</v>
      </c>
      <c r="F43" s="108">
        <f>+$E$47*(1-$E$46^(-2*(C43-$C$43)/($C$40-$C$43)))</f>
        <v>0</v>
      </c>
      <c r="L43" s="313"/>
      <c r="M43" s="313"/>
      <c r="N43" s="313"/>
      <c r="O43" s="317">
        <f>+C40</f>
        <v>5000000</v>
      </c>
      <c r="P43" s="318">
        <f>R42</f>
        <v>5000000</v>
      </c>
      <c r="Q43" s="313"/>
      <c r="R43" s="313"/>
      <c r="S43" s="310"/>
    </row>
    <row r="44" spans="1:19" s="74" customFormat="1" ht="15.75">
      <c r="A44"/>
      <c r="D44" s="75"/>
      <c r="E44" s="73"/>
      <c r="F44"/>
      <c r="L44" s="313"/>
      <c r="M44" s="313"/>
      <c r="N44" s="313"/>
      <c r="O44" s="313"/>
      <c r="P44" s="313"/>
      <c r="Q44" s="313"/>
      <c r="R44" s="313"/>
      <c r="S44" s="310"/>
    </row>
    <row r="45" spans="1:19" s="74" customFormat="1" ht="15.75">
      <c r="A45"/>
      <c r="F45"/>
      <c r="L45" s="313"/>
      <c r="M45" s="313"/>
      <c r="N45" s="313"/>
      <c r="O45" s="314">
        <f>+D41</f>
        <v>0.5</v>
      </c>
      <c r="P45" s="313"/>
      <c r="Q45" s="313"/>
      <c r="R45" s="313"/>
      <c r="S45" s="310"/>
    </row>
    <row r="46" spans="1:19" s="74" customFormat="1" ht="15.75">
      <c r="A46"/>
      <c r="B46" s="203" t="s">
        <v>241</v>
      </c>
      <c r="C46" s="206">
        <v>0.6</v>
      </c>
      <c r="D46" s="178" t="s">
        <v>238</v>
      </c>
      <c r="E46" s="207">
        <f>+C46/(1-C46)</f>
        <v>1.4999999999999998</v>
      </c>
      <c r="F46"/>
      <c r="L46" s="313"/>
      <c r="M46" s="313"/>
      <c r="N46" s="313"/>
      <c r="O46" s="315" t="str">
        <f>+B41</f>
        <v>Expected Revenue</v>
      </c>
      <c r="P46" s="313"/>
      <c r="Q46" s="313"/>
      <c r="R46" s="313"/>
      <c r="S46" s="310"/>
    </row>
    <row r="47" spans="1:19" s="74" customFormat="1" ht="15.75">
      <c r="A47"/>
      <c r="B47" s="203" t="s">
        <v>138</v>
      </c>
      <c r="C47" s="59">
        <v>3.3799999999999997E-2</v>
      </c>
      <c r="D47" s="178" t="s">
        <v>240</v>
      </c>
      <c r="E47" s="208">
        <f>+C46^2/(2*C46-1)</f>
        <v>1.8000000000000003</v>
      </c>
      <c r="F47"/>
      <c r="L47" s="313"/>
      <c r="M47" s="313"/>
      <c r="N47" s="313"/>
      <c r="O47" s="313"/>
      <c r="P47" s="313"/>
      <c r="Q47" s="313"/>
      <c r="R47" s="316">
        <f>SUM(O48)</f>
        <v>3500000</v>
      </c>
      <c r="S47" s="310"/>
    </row>
    <row r="48" spans="1:19" s="74" customFormat="1" ht="15.75">
      <c r="A48"/>
      <c r="B48" s="5" t="s">
        <v>128</v>
      </c>
      <c r="C48" s="59">
        <v>0.1</v>
      </c>
      <c r="D48" s="178" t="s">
        <v>254</v>
      </c>
      <c r="E48" s="188">
        <f>AVERAGE(F40:F43)</f>
        <v>0.53978091905282566</v>
      </c>
      <c r="F48"/>
      <c r="L48" s="313"/>
      <c r="M48" s="313"/>
      <c r="N48" s="313"/>
      <c r="O48" s="317">
        <f>+C41</f>
        <v>3500000</v>
      </c>
      <c r="P48" s="318">
        <f>R47</f>
        <v>3500000</v>
      </c>
      <c r="Q48" s="313"/>
      <c r="R48" s="313"/>
      <c r="S48" s="310"/>
    </row>
    <row r="49" spans="1:19" s="74" customFormat="1" ht="15.75">
      <c r="A49"/>
      <c r="D49" s="75"/>
      <c r="F49"/>
      <c r="L49" s="313"/>
      <c r="M49" s="313"/>
      <c r="N49" s="313"/>
      <c r="O49" s="313"/>
      <c r="P49" s="313"/>
      <c r="Q49" s="313"/>
      <c r="R49" s="313"/>
      <c r="S49" s="310"/>
    </row>
    <row r="50" spans="1:19" s="74" customFormat="1" ht="15.75">
      <c r="A50"/>
      <c r="B50" s="6" t="s">
        <v>33</v>
      </c>
      <c r="C50" s="51">
        <f>SUM(E40:E43)</f>
        <v>2900000</v>
      </c>
      <c r="D50"/>
      <c r="E50"/>
      <c r="F50"/>
      <c r="L50" s="319">
        <f>IF(ABS(1-(O40+O45+O50+O55))&lt;=0.00001,O40*P43+O45*P48+O50*P53+O55*P58,NA())</f>
        <v>2900000</v>
      </c>
      <c r="M50" s="313"/>
      <c r="N50" s="313"/>
      <c r="O50" s="314">
        <f>+D42</f>
        <v>0.2</v>
      </c>
      <c r="P50" s="313"/>
      <c r="Q50" s="313"/>
      <c r="R50" s="313"/>
      <c r="S50" s="310"/>
    </row>
    <row r="51" spans="1:19" s="74" customFormat="1" ht="15.75">
      <c r="A51"/>
      <c r="B51" s="102" t="s">
        <v>296</v>
      </c>
      <c r="C51" s="51">
        <f>+C50/(1+(C48+C47))</f>
        <v>2557770.3298641737</v>
      </c>
      <c r="L51" s="313"/>
      <c r="M51" s="313"/>
      <c r="N51" s="313"/>
      <c r="O51" s="315" t="str">
        <f>+B42</f>
        <v>Low Revenue</v>
      </c>
      <c r="P51" s="313"/>
      <c r="Q51" s="313"/>
      <c r="R51" s="313"/>
      <c r="S51" s="310"/>
    </row>
    <row r="52" spans="1:19" s="74" customFormat="1" ht="15.75">
      <c r="A52"/>
      <c r="B52" s="6" t="s">
        <v>297</v>
      </c>
      <c r="C52" s="51">
        <f>C43-(C40-C43)*LN(1-E48/E47)/(2*LN(E46))</f>
        <v>1917909.6176961008</v>
      </c>
      <c r="L52" s="313"/>
      <c r="M52" s="313"/>
      <c r="N52" s="313"/>
      <c r="O52" s="313"/>
      <c r="P52" s="313"/>
      <c r="Q52" s="313"/>
      <c r="R52" s="316">
        <f>SUM(O53)</f>
        <v>1000000</v>
      </c>
      <c r="S52" s="310"/>
    </row>
    <row r="53" spans="1:19" s="74" customFormat="1" ht="15.75">
      <c r="A53"/>
      <c r="L53" s="313"/>
      <c r="M53" s="313"/>
      <c r="N53" s="313"/>
      <c r="O53" s="317">
        <f>+C42</f>
        <v>1000000</v>
      </c>
      <c r="P53" s="318">
        <f>R52</f>
        <v>1000000</v>
      </c>
      <c r="Q53" s="313"/>
      <c r="R53" s="313"/>
      <c r="S53" s="310"/>
    </row>
    <row r="54" spans="1:19" s="74" customFormat="1" ht="15.75">
      <c r="A54"/>
      <c r="B54"/>
      <c r="C54"/>
      <c r="D54" s="73"/>
      <c r="E54" s="73"/>
      <c r="F54" s="73"/>
      <c r="G54" s="73"/>
      <c r="H54" s="73"/>
      <c r="L54" s="313"/>
      <c r="M54" s="313"/>
      <c r="N54" s="313"/>
      <c r="O54" s="313"/>
      <c r="P54" s="313"/>
      <c r="Q54" s="313"/>
      <c r="R54" s="313"/>
      <c r="S54" s="310"/>
    </row>
    <row r="55" spans="1:19" ht="15.75">
      <c r="L55" s="313"/>
      <c r="M55" s="313"/>
      <c r="N55" s="313"/>
      <c r="O55" s="314">
        <f>+D43</f>
        <v>0.1</v>
      </c>
      <c r="P55" s="313"/>
      <c r="Q55" s="313"/>
      <c r="R55" s="313"/>
      <c r="S55" s="311"/>
    </row>
    <row r="56" spans="1:19" ht="15.75">
      <c r="B56" s="242"/>
      <c r="C56" s="243" t="s">
        <v>126</v>
      </c>
      <c r="D56" s="244" t="s">
        <v>127</v>
      </c>
      <c r="E56" s="245"/>
      <c r="F56" s="246"/>
      <c r="G56" s="247"/>
      <c r="H56" s="248" t="s">
        <v>125</v>
      </c>
      <c r="I56"/>
      <c r="J56"/>
      <c r="K56"/>
      <c r="L56" s="313"/>
      <c r="M56" s="313"/>
      <c r="N56" s="313"/>
      <c r="O56" s="320" t="str">
        <f>+B43</f>
        <v>Loss</v>
      </c>
      <c r="P56" s="313"/>
      <c r="Q56" s="313"/>
      <c r="R56" s="313"/>
      <c r="S56" s="311"/>
    </row>
    <row r="57" spans="1:19" ht="15.75">
      <c r="B57" s="249" t="s">
        <v>139</v>
      </c>
      <c r="C57" s="250">
        <f>+C47</f>
        <v>3.3799999999999997E-2</v>
      </c>
      <c r="D57" s="250">
        <v>0.05</v>
      </c>
      <c r="E57" s="250">
        <f>+D57*2.5</f>
        <v>0.125</v>
      </c>
      <c r="F57" s="250">
        <f>+E57*2</f>
        <v>0.25</v>
      </c>
      <c r="G57" s="250">
        <v>0.33300000000000002</v>
      </c>
      <c r="H57" s="251">
        <v>0.5</v>
      </c>
      <c r="I57"/>
      <c r="J57"/>
      <c r="K57"/>
      <c r="L57" s="313"/>
      <c r="M57" s="313"/>
      <c r="N57" s="313"/>
      <c r="O57" s="313"/>
      <c r="P57" s="313"/>
      <c r="Q57" s="313"/>
      <c r="R57" s="316">
        <f>SUM(O58)</f>
        <v>-500000</v>
      </c>
      <c r="S57" s="311"/>
    </row>
    <row r="58" spans="1:19" ht="15.75">
      <c r="B58" s="249" t="s">
        <v>264</v>
      </c>
      <c r="C58" s="73">
        <f t="shared" ref="C58:H58" si="3">+$C$50/(1+C57)</f>
        <v>2805184.7552718124</v>
      </c>
      <c r="D58" s="73">
        <f t="shared" si="3"/>
        <v>2761904.7619047617</v>
      </c>
      <c r="E58" s="73">
        <f t="shared" si="3"/>
        <v>2577777.777777778</v>
      </c>
      <c r="F58" s="73">
        <f t="shared" si="3"/>
        <v>2320000</v>
      </c>
      <c r="G58" s="73">
        <f t="shared" si="3"/>
        <v>2175543.8859714931</v>
      </c>
      <c r="H58" s="81">
        <f t="shared" si="3"/>
        <v>1933333.3333333333</v>
      </c>
      <c r="I58"/>
      <c r="J58"/>
      <c r="K58"/>
      <c r="L58" s="313"/>
      <c r="M58" s="313"/>
      <c r="N58" s="313"/>
      <c r="O58" s="317">
        <f>+C43</f>
        <v>-500000</v>
      </c>
      <c r="P58" s="318">
        <f>R57</f>
        <v>-500000</v>
      </c>
      <c r="Q58" s="313"/>
      <c r="R58" s="313"/>
      <c r="S58" s="311"/>
    </row>
    <row r="59" spans="1:19" ht="15.75">
      <c r="B59" s="35" t="s">
        <v>140</v>
      </c>
      <c r="C59" s="1">
        <f t="shared" ref="C59:H59" si="4">+C58-$C$50</f>
        <v>-94815.244728187565</v>
      </c>
      <c r="D59" s="1">
        <f t="shared" si="4"/>
        <v>-138095.23809523834</v>
      </c>
      <c r="E59" s="1">
        <f t="shared" si="4"/>
        <v>-322222.22222222202</v>
      </c>
      <c r="F59" s="1">
        <f t="shared" si="4"/>
        <v>-580000</v>
      </c>
      <c r="G59" s="1">
        <f t="shared" si="4"/>
        <v>-724456.11402850691</v>
      </c>
      <c r="H59" s="160">
        <f t="shared" si="4"/>
        <v>-966666.66666666674</v>
      </c>
      <c r="I59"/>
      <c r="J59"/>
      <c r="K59"/>
      <c r="L59" s="310"/>
      <c r="M59" s="310"/>
      <c r="N59" s="310"/>
      <c r="O59" s="311"/>
      <c r="P59" s="311"/>
      <c r="Q59" s="311"/>
      <c r="R59" s="311"/>
      <c r="S59" s="311"/>
    </row>
    <row r="60" spans="1:19">
      <c r="B60" s="35"/>
      <c r="H60" s="81"/>
    </row>
    <row r="61" spans="1:19">
      <c r="B61" s="249" t="s">
        <v>265</v>
      </c>
      <c r="C61" s="48">
        <f t="shared" ref="C61:H61" si="5">+C58-$C$52</f>
        <v>887275.13757571159</v>
      </c>
      <c r="D61" s="48">
        <f t="shared" si="5"/>
        <v>843995.14420866081</v>
      </c>
      <c r="E61" s="48">
        <f t="shared" si="5"/>
        <v>659868.16008167714</v>
      </c>
      <c r="F61" s="48">
        <f t="shared" si="5"/>
        <v>402090.38230389915</v>
      </c>
      <c r="G61" s="48">
        <f t="shared" si="5"/>
        <v>257634.26827539224</v>
      </c>
      <c r="H61" s="252">
        <f t="shared" si="5"/>
        <v>15423.71563723241</v>
      </c>
    </row>
    <row r="62" spans="1:19">
      <c r="B62" s="253" t="s">
        <v>251</v>
      </c>
      <c r="C62" s="254">
        <f t="array" ref="C62:H62">C52</f>
        <v>1917909.6176961008</v>
      </c>
      <c r="D62" s="254">
        <v>1917909.6176961008</v>
      </c>
      <c r="E62" s="254">
        <v>1917909.6176961008</v>
      </c>
      <c r="F62" s="254">
        <v>1917909.6176961008</v>
      </c>
      <c r="G62" s="254">
        <v>1917909.6176961008</v>
      </c>
      <c r="H62" s="255">
        <v>1917909.6176961008</v>
      </c>
    </row>
    <row r="63" spans="1:19">
      <c r="B63" s="203"/>
      <c r="C63" s="48"/>
      <c r="D63" s="48"/>
      <c r="E63" s="48"/>
      <c r="F63" s="48"/>
      <c r="G63" s="48"/>
      <c r="H63" s="48"/>
    </row>
    <row r="64" spans="1:19">
      <c r="F64"/>
      <c r="G64"/>
      <c r="H64"/>
    </row>
    <row r="65" spans="2:5">
      <c r="B65" s="118" t="s">
        <v>149</v>
      </c>
      <c r="C65" s="119" t="s">
        <v>150</v>
      </c>
      <c r="D65" s="119" t="s">
        <v>151</v>
      </c>
      <c r="E65" s="119" t="s">
        <v>152</v>
      </c>
    </row>
    <row r="66" spans="2:5">
      <c r="B66" s="118" t="s">
        <v>147</v>
      </c>
      <c r="C66" s="109" t="s">
        <v>148</v>
      </c>
      <c r="D66" s="110">
        <v>0</v>
      </c>
      <c r="E66" s="111">
        <f>+C50</f>
        <v>2900000</v>
      </c>
    </row>
    <row r="67" spans="2:5">
      <c r="B67" s="118" t="s">
        <v>293</v>
      </c>
      <c r="C67" s="109" t="s">
        <v>148</v>
      </c>
      <c r="D67" s="239">
        <f>1-E67/E66</f>
        <v>0.33865185596686176</v>
      </c>
      <c r="E67" s="111">
        <f>+C52</f>
        <v>1917909.6176961008</v>
      </c>
    </row>
    <row r="68" spans="2:5">
      <c r="B68" s="114"/>
      <c r="C68" s="113"/>
      <c r="D68" s="113"/>
      <c r="E68" s="113"/>
    </row>
    <row r="69" spans="2:5">
      <c r="B69" s="115" t="s">
        <v>142</v>
      </c>
      <c r="C69" s="112" t="s">
        <v>145</v>
      </c>
      <c r="D69" s="116">
        <v>0.3</v>
      </c>
      <c r="E69" s="113">
        <f>+$C$50/(1+D69)</f>
        <v>2230769.2307692305</v>
      </c>
    </row>
    <row r="70" spans="2:5">
      <c r="B70" s="115" t="s">
        <v>143</v>
      </c>
      <c r="C70" s="112" t="s">
        <v>146</v>
      </c>
      <c r="D70" s="116">
        <v>0.05</v>
      </c>
      <c r="E70" s="113">
        <f>+$C$50/(1+D70)</f>
        <v>2761904.7619047617</v>
      </c>
    </row>
    <row r="71" spans="2:5">
      <c r="B71" s="115" t="s">
        <v>144</v>
      </c>
      <c r="C71" s="112" t="s">
        <v>126</v>
      </c>
      <c r="D71" s="116">
        <f>+C57</f>
        <v>3.3799999999999997E-2</v>
      </c>
      <c r="E71" s="113">
        <f>+$C$50/(1+D71)</f>
        <v>2805184.7552718124</v>
      </c>
    </row>
    <row r="72" spans="2:5">
      <c r="B72" s="114"/>
      <c r="C72" s="113"/>
      <c r="D72" s="113"/>
      <c r="E72" s="113"/>
    </row>
    <row r="73" spans="2:5">
      <c r="B73" s="115" t="s">
        <v>153</v>
      </c>
      <c r="C73" s="113"/>
      <c r="D73" s="240">
        <f>AVERAGE(D69:D71)</f>
        <v>0.12793333333333332</v>
      </c>
      <c r="E73" s="241">
        <f>AVERAGE(E69:E71)</f>
        <v>2599286.2493152679</v>
      </c>
    </row>
    <row r="74" spans="2:5" ht="39.75" customHeight="1">
      <c r="B74" s="257" t="s">
        <v>298</v>
      </c>
      <c r="C74" s="256"/>
      <c r="D74" s="256"/>
      <c r="E74" s="258">
        <f>+E73-E67</f>
        <v>681376.63161916705</v>
      </c>
    </row>
    <row r="75" spans="2:5">
      <c r="B75" s="120" t="s">
        <v>295</v>
      </c>
      <c r="C75" s="121"/>
      <c r="D75" s="121"/>
      <c r="E75" s="124">
        <f>+E73-E66</f>
        <v>-300713.75068473211</v>
      </c>
    </row>
    <row r="1002" spans="190:204">
      <c r="GH1002" s="44" t="s">
        <v>55</v>
      </c>
      <c r="GI1002" s="44" t="s">
        <v>56</v>
      </c>
      <c r="GJ1002" s="44" t="s">
        <v>57</v>
      </c>
      <c r="GK1002" s="44" t="s">
        <v>58</v>
      </c>
      <c r="GL1002" s="44" t="s">
        <v>59</v>
      </c>
      <c r="GM1002" s="44" t="s">
        <v>60</v>
      </c>
      <c r="GN1002" s="44" t="s">
        <v>61</v>
      </c>
      <c r="GO1002" s="44" t="s">
        <v>62</v>
      </c>
      <c r="GP1002" s="44" t="s">
        <v>63</v>
      </c>
      <c r="GQ1002" s="44" t="s">
        <v>64</v>
      </c>
      <c r="GR1002" s="44" t="s">
        <v>65</v>
      </c>
      <c r="GS1002" s="44" t="s">
        <v>66</v>
      </c>
      <c r="GT1002" s="44" t="s">
        <v>67</v>
      </c>
      <c r="GU1002" s="44" t="s">
        <v>68</v>
      </c>
      <c r="GV1002" s="44" t="s">
        <v>69</v>
      </c>
    </row>
    <row r="1003" spans="190:204">
      <c r="GH1003" s="44">
        <v>0</v>
      </c>
      <c r="GI1003" s="44" t="s">
        <v>70</v>
      </c>
      <c r="GJ1003" s="44">
        <v>0</v>
      </c>
      <c r="GK1003" s="44">
        <v>0</v>
      </c>
      <c r="GL1003" s="44">
        <v>0</v>
      </c>
      <c r="GM1003" s="44" t="s">
        <v>72</v>
      </c>
      <c r="GN1003" s="44">
        <v>4</v>
      </c>
      <c r="GO1003" s="44">
        <v>1</v>
      </c>
      <c r="GP1003" s="44">
        <v>2</v>
      </c>
      <c r="GQ1003" s="44">
        <v>3</v>
      </c>
      <c r="GR1003" s="44">
        <v>4</v>
      </c>
      <c r="GS1003" s="44">
        <v>0</v>
      </c>
      <c r="GT1003" s="45">
        <v>9</v>
      </c>
      <c r="GU1003" s="45">
        <v>1</v>
      </c>
      <c r="GV1003" s="45" t="b">
        <v>1</v>
      </c>
    </row>
    <row r="1004" spans="190:204">
      <c r="GH1004" s="44">
        <v>1</v>
      </c>
      <c r="GL1004" s="44">
        <v>0</v>
      </c>
      <c r="GM1004" s="44" t="s">
        <v>73</v>
      </c>
      <c r="GN1004" s="44">
        <v>0</v>
      </c>
      <c r="GO1004" s="44">
        <v>0</v>
      </c>
      <c r="GP1004" s="44">
        <v>0</v>
      </c>
      <c r="GQ1004" s="44">
        <v>0</v>
      </c>
      <c r="GR1004" s="44">
        <v>0</v>
      </c>
      <c r="GS1004" s="44">
        <v>0</v>
      </c>
      <c r="GT1004" s="45">
        <v>2</v>
      </c>
      <c r="GU1004" s="45">
        <v>5</v>
      </c>
      <c r="GV1004" s="45" t="b">
        <v>1</v>
      </c>
    </row>
    <row r="1005" spans="190:204">
      <c r="GH1005" s="44">
        <v>2</v>
      </c>
      <c r="GL1005" s="44">
        <v>0</v>
      </c>
      <c r="GM1005" s="44" t="s">
        <v>73</v>
      </c>
      <c r="GN1005" s="44">
        <v>0</v>
      </c>
      <c r="GO1005" s="44">
        <v>0</v>
      </c>
      <c r="GP1005" s="44">
        <v>0</v>
      </c>
      <c r="GQ1005" s="44">
        <v>0</v>
      </c>
      <c r="GR1005" s="44">
        <v>0</v>
      </c>
      <c r="GS1005" s="44">
        <v>0</v>
      </c>
      <c r="GT1005" s="45">
        <v>7</v>
      </c>
      <c r="GU1005" s="45">
        <v>5</v>
      </c>
      <c r="GV1005" s="45" t="b">
        <v>1</v>
      </c>
    </row>
    <row r="1006" spans="190:204">
      <c r="GH1006">
        <v>3</v>
      </c>
      <c r="GL1006">
        <v>0</v>
      </c>
      <c r="GM1006" t="s">
        <v>73</v>
      </c>
      <c r="GN1006">
        <v>0</v>
      </c>
      <c r="GO1006">
        <v>0</v>
      </c>
      <c r="GP1006">
        <v>0</v>
      </c>
      <c r="GQ1006">
        <v>0</v>
      </c>
      <c r="GR1006">
        <v>0</v>
      </c>
      <c r="GS1006">
        <v>0</v>
      </c>
      <c r="GT1006">
        <v>12</v>
      </c>
      <c r="GU1006">
        <v>5</v>
      </c>
      <c r="GV1006" t="b">
        <v>1</v>
      </c>
    </row>
    <row r="1007" spans="190:204">
      <c r="GH1007">
        <v>4</v>
      </c>
      <c r="GL1007">
        <v>0</v>
      </c>
      <c r="GM1007" t="s">
        <v>73</v>
      </c>
      <c r="GN1007">
        <v>0</v>
      </c>
      <c r="GO1007">
        <v>0</v>
      </c>
      <c r="GP1007">
        <v>0</v>
      </c>
      <c r="GQ1007">
        <v>0</v>
      </c>
      <c r="GR1007">
        <v>0</v>
      </c>
      <c r="GS1007">
        <v>0</v>
      </c>
      <c r="GT1007">
        <v>17</v>
      </c>
      <c r="GU1007">
        <v>5</v>
      </c>
      <c r="GV1007" t="b">
        <v>1</v>
      </c>
    </row>
  </sheetData>
  <mergeCells count="2">
    <mergeCell ref="D24:H24"/>
    <mergeCell ref="J24:N24"/>
  </mergeCells>
  <pageMargins left="0.7" right="0.7" top="0.75" bottom="0.75" header="0.3" footer="0.3"/>
  <pageSetup scale="1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34</vt:i4>
      </vt:variant>
    </vt:vector>
  </HeadingPairs>
  <TitlesOfParts>
    <vt:vector size="43" baseType="lpstr">
      <vt:lpstr>Decision Complete Uncertainty</vt:lpstr>
      <vt:lpstr>VOIP</vt:lpstr>
      <vt:lpstr>Food Truck Decision Trees</vt:lpstr>
      <vt:lpstr>Car Decision Tree</vt:lpstr>
      <vt:lpstr>Objective Probability</vt:lpstr>
      <vt:lpstr>Expected Value</vt:lpstr>
      <vt:lpstr>Fin CME</vt:lpstr>
      <vt:lpstr>Utility</vt:lpstr>
      <vt:lpstr>SuperWidgets</vt:lpstr>
      <vt:lpstr>alpha</vt:lpstr>
      <vt:lpstr>ExpU</vt:lpstr>
      <vt:lpstr>H_alpha</vt:lpstr>
      <vt:lpstr>MulitP_Cap</vt:lpstr>
      <vt:lpstr>MultiP_LC</vt:lpstr>
      <vt:lpstr>PowerPack_Cap</vt:lpstr>
      <vt:lpstr>PowerPack_LC</vt:lpstr>
      <vt:lpstr>PowerPack_SP</vt:lpstr>
      <vt:lpstr>Preference_Probabiltiy</vt:lpstr>
      <vt:lpstr>'Decision Complete Uncertainty'!Print_Area</vt:lpstr>
      <vt:lpstr>'Food Truck Decision Trees'!Print_Area</vt:lpstr>
      <vt:lpstr>SuperWidgets!Print_Area</vt:lpstr>
      <vt:lpstr>r__odds</vt:lpstr>
      <vt:lpstr>SuperStack__LC</vt:lpstr>
      <vt:lpstr>SuperStack_Cap</vt:lpstr>
      <vt:lpstr>SuperStack_SP</vt:lpstr>
      <vt:lpstr>'Car Decision Tree'!TreeData</vt:lpstr>
      <vt:lpstr>'Decision Complete Uncertainty'!TreeData</vt:lpstr>
      <vt:lpstr>'Fin CME'!TreeData</vt:lpstr>
      <vt:lpstr>'Food Truck Decision Trees'!TreeData</vt:lpstr>
      <vt:lpstr>SuperWidgets!TreeData</vt:lpstr>
      <vt:lpstr>'Car Decision Tree'!TreeDiagBase</vt:lpstr>
      <vt:lpstr>'Decision Complete Uncertainty'!TreeDiagBase</vt:lpstr>
      <vt:lpstr>'Fin CME'!TreeDiagBase</vt:lpstr>
      <vt:lpstr>'Food Truck Decision Trees'!TreeDiagBase</vt:lpstr>
      <vt:lpstr>SuperWidgets!TreeDiagBase</vt:lpstr>
      <vt:lpstr>'Car Decision Tree'!TreeDiagram</vt:lpstr>
      <vt:lpstr>'Decision Complete Uncertainty'!TreeDiagram</vt:lpstr>
      <vt:lpstr>'Fin CME'!TreeDiagram</vt:lpstr>
      <vt:lpstr>'Food Truck Decision Trees'!TreeDiagram</vt:lpstr>
      <vt:lpstr>SuperWidgets!TreeDiagram</vt:lpstr>
      <vt:lpstr>UtilityCurveRangeAdj</vt:lpstr>
      <vt:lpstr>vmax</vt:lpstr>
      <vt:lpstr>vmin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2024-03-16T21:05:32Z</dcterms:created>
  <dcterms:modified xsi:type="dcterms:W3CDTF">2025-04-11T21:31:41Z</dcterms:modified>
</cp:coreProperties>
</file>